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donnell\Dropbox (EMA)\Lucy O'Donnell personal\national fuel\NF filings\"/>
    </mc:Choice>
  </mc:AlternateContent>
  <xr:revisionPtr revIDLastSave="0" documentId="8_{68E63441-D4E9-48F1-966E-A705FF6BFD01}" xr6:coauthVersionLast="45" xr6:coauthVersionMax="45" xr10:uidLastSave="{00000000-0000-0000-0000-000000000000}"/>
  <bookViews>
    <workbookView xWindow="-108" yWindow="-108" windowWidth="23256" windowHeight="12576"/>
  </bookViews>
  <sheets>
    <sheet name="Revrun Sales Annual" sheetId="1" r:id="rId1"/>
    <sheet name="Revrun Sales 97" sheetId="2" r:id="rId2"/>
    <sheet name="Revrun Sales 98" sheetId="3" r:id="rId3"/>
    <sheet name="Exh 3-A-1 Actual" sheetId="4" r:id="rId4"/>
    <sheet name="Exh 3-A-1 Actual Sum" sheetId="5" r:id="rId5"/>
    <sheet name="Exh 3-A-1 Actual (SATC)" sheetId="6" r:id="rId6"/>
  </sheets>
  <definedNames>
    <definedName name="\A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L">#REF!</definedName>
    <definedName name="\P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ACT_TRANS">#REF!</definedName>
    <definedName name="AVG_LVIS_DMT">#REF!</definedName>
    <definedName name="AVG_LVIS_MMT">#REF!</definedName>
    <definedName name="E3A1_PR_INT_SVI" localSheetId="4">'Exh 3-A-1 Actual Sum'!#REF!</definedName>
    <definedName name="E3A1_PR_INT_SVI">#REF!</definedName>
    <definedName name="E3A1_PR_LRG_COM" localSheetId="4">'Exh 3-A-1 Actual Sum'!#REF!</definedName>
    <definedName name="E3A1_PR_LRG_COM">#REF!</definedName>
    <definedName name="E3A1_PR_SML_COM" localSheetId="4">'Exh 3-A-1 Actual Sum'!#REF!</definedName>
    <definedName name="E3A1_PR_SML_COM">#REF!</definedName>
    <definedName name="E3A1_PR_SML_SVI" localSheetId="4">'Exh 3-A-1 Actual Sum'!#REF!</definedName>
    <definedName name="E3A1_PR_SML_SVI">#REF!</definedName>
    <definedName name="E3A5_ANN_INTSVI">#REF!</definedName>
    <definedName name="E3A5_ANN_LRGCOM">#REF!</definedName>
    <definedName name="E3A5_ANN_SMLCOM">#REF!</definedName>
    <definedName name="E3A5_ANN_SMLSVI">#REF!</definedName>
    <definedName name="E3A5_GR_INT_SVI">#REF!</definedName>
    <definedName name="E3A5_GR_LRG_COM">#REF!</definedName>
    <definedName name="E3A5_GR_SML_COM">#REF!</definedName>
    <definedName name="E3A5_GR_SML_SVI">#REF!</definedName>
    <definedName name="E3A5_NR_INT_SVI">#REF!</definedName>
    <definedName name="E3A5_NR_LRG_COM">#REF!</definedName>
    <definedName name="E3A5_NR_SML_COM">#REF!</definedName>
    <definedName name="E3A5_NR_SML_SVI">#REF!</definedName>
    <definedName name="EX3A1_BORDER" localSheetId="4">'Exh 3-A-1 Actual Sum'!$A$2:$I$10</definedName>
    <definedName name="EX3A1_BORDER">#REF!</definedName>
    <definedName name="EX3A1_NUM" localSheetId="4">'Exh 3-A-1 Actual Sum'!$I$3</definedName>
    <definedName name="EX3A1_NUM">#REF!</definedName>
    <definedName name="EX3A1_PG1" localSheetId="4">'Exh 3-A-1 Actual Sum'!$A$11:$I$25</definedName>
    <definedName name="EX3A1_PG1">#REF!</definedName>
    <definedName name="EX3A1_PG2" localSheetId="4">'Exh 3-A-1 Actual Sum'!$A$26:$I$40</definedName>
    <definedName name="EX3A1_PG2">#REF!</definedName>
    <definedName name="EX3A1_PG3" localSheetId="4">'Exh 3-A-1 Actual Sum'!$A$41:$I$56</definedName>
    <definedName name="EX3A1_PG3">#REF!</definedName>
    <definedName name="EX3A1_PG4" localSheetId="4">'Exh 3-A-1 Actual Sum'!$A$57:$I$80</definedName>
    <definedName name="EX3A1_PG4">#REF!</definedName>
    <definedName name="EX3A1_PROP_LBS" localSheetId="4">'Exh 3-A-1 Actual Sum'!$I$82</definedName>
    <definedName name="EX3A1_PROP_LBS">#REF!</definedName>
    <definedName name="EX3A1_PROP_LIRA" localSheetId="4">'Exh 3-A-1 Actual Sum'!#REF!</definedName>
    <definedName name="EX3A1_PROP_LIRA">#REF!</definedName>
    <definedName name="EX3A1_PROP_LIS" localSheetId="4">'Exh 3-A-1 Actual Sum'!#REF!</definedName>
    <definedName name="EX3A1_PROP_LIS">#REF!</definedName>
    <definedName name="EX3A1_PROP_LVIS" localSheetId="4">'Exh 3-A-1 Actual Sum'!#REF!</definedName>
    <definedName name="EX3A1_PROP_LVIS">#REF!</definedName>
    <definedName name="EX3A1_PROP_RES" localSheetId="4">'Exh 3-A-1 Actual Sum'!#REF!</definedName>
    <definedName name="EX3A1_PROP_RES">#REF!</definedName>
    <definedName name="EX3A1_PROP_TRAN" localSheetId="4">'Exh 3-A-1 Actual Sum'!$I$84</definedName>
    <definedName name="EX3A1_PROP_TRAN">#REF!</definedName>
    <definedName name="EX3A2_ACT_TRAN">#REF!</definedName>
    <definedName name="EX3A2_ANNTRAN">#REF!</definedName>
    <definedName name="EX3A2_LBSCOMM">#REF!</definedName>
    <definedName name="EX3A2_LBSLVIS">#REF!</definedName>
    <definedName name="EX3A2_LBSSVIS">#REF!</definedName>
    <definedName name="EX3A2_PG1">#REF!</definedName>
    <definedName name="EX3A2_PG2">#REF!</definedName>
    <definedName name="EX3A2_TRANADJ">#REF!</definedName>
    <definedName name="EX3A5_ANNLBS">#REF!</definedName>
    <definedName name="EX3A5_ANNLIRA">#REF!</definedName>
    <definedName name="EX3A5_ANNLIS">#REF!</definedName>
    <definedName name="EX3A5_ANNLVIS">#REF!</definedName>
    <definedName name="EX3A5_ANNRES">#REF!</definedName>
    <definedName name="EX3A5_GROWTHLBS">#REF!</definedName>
    <definedName name="EX3A5_GROWTHLIR">#REF!</definedName>
    <definedName name="EX3A5_GROWTHLIS">#REF!</definedName>
    <definedName name="EX3A5_GROWTHLVI">#REF!</definedName>
    <definedName name="EX3A5_GROWTHRES">#REF!</definedName>
    <definedName name="EX3A5_NORMLBS">#REF!</definedName>
    <definedName name="EX3A5_NORMLIRA">#REF!</definedName>
    <definedName name="EX3A5_NORMLIS">#REF!</definedName>
    <definedName name="EX3A5_NORMLVIS">#REF!</definedName>
    <definedName name="EX3A5_NORMRES">#REF!</definedName>
    <definedName name="EX3A5_NUM">#REF!</definedName>
    <definedName name="EX3A5_PG1">#REF!</definedName>
    <definedName name="EX3A5_PG1_2BORD">#REF!</definedName>
    <definedName name="EX3A5_PG2">#REF!</definedName>
    <definedName name="EX3A6_PG1">#REF!</definedName>
    <definedName name="EX3A6_TOT">#REF!</definedName>
    <definedName name="EX3A9_INT_SVIS">#REF!</definedName>
    <definedName name="EX3A9_LIRA">#REF!</definedName>
    <definedName name="EX3A9_LIS">#REF!</definedName>
    <definedName name="EX3A9_LRG_COM_P">#REF!</definedName>
    <definedName name="EX3A9_LVIS">#REF!</definedName>
    <definedName name="EX3A9_PG1_2">#REF!</definedName>
    <definedName name="EX3A9_PG1_2BORD">#REF!</definedName>
    <definedName name="EX3A9_RES">#REF!</definedName>
    <definedName name="EX3A9_SML_COM_P">#REF!</definedName>
    <definedName name="EX3A9_SML_SVIS">#REF!</definedName>
    <definedName name="EX4_A_11">#REF!</definedName>
    <definedName name="EX4_A_11_LINE2">#REF!</definedName>
    <definedName name="FLEX_OUT">#REF!</definedName>
    <definedName name="FLEX_TRAN">#REF!</definedName>
    <definedName name="INT_SVIS_ADJFAC">#REF!</definedName>
    <definedName name="INT_SVIS_CUST">#REF!</definedName>
    <definedName name="INT_SVIS_PRO">#REF!</definedName>
    <definedName name="LARGE_COM_PRO">#REF!</definedName>
    <definedName name="LARGE_PUB_PRO">#REF!</definedName>
    <definedName name="LIRA_ADJFAC">#REF!</definedName>
    <definedName name="LIRA_CUST">#REF!</definedName>
    <definedName name="LIS_CUST">#REF!</definedName>
    <definedName name="LOADBAL">#REF!</definedName>
    <definedName name="LRG_C_PA_ADJFAC">#REF!</definedName>
    <definedName name="LRG_COM_ADJFAC">#REF!</definedName>
    <definedName name="LRG_COM_PA_CUST">#REF!</definedName>
    <definedName name="LRG_PUB_ADJFAC">#REF!</definedName>
    <definedName name="LVIS_CUST">#REF!</definedName>
    <definedName name="_xlnm.Print_Area" localSheetId="3">'Exh 3-A-1 Actual'!$A$12:$K$226</definedName>
    <definedName name="_xlnm.Print_Area" localSheetId="5">'Exh 3-A-1 Actual (SATC)'!$A$14:$J$71</definedName>
    <definedName name="_xlnm.Print_Area" localSheetId="4">'Exh 3-A-1 Actual Sum'!$A$11:$I$79</definedName>
    <definedName name="_xlnm.Print_Area" localSheetId="1">'Revrun Sales 97'!$A$10:$O$85</definedName>
    <definedName name="_xlnm.Print_Area" localSheetId="2">'Revrun Sales 98'!$A$10:$O$78</definedName>
    <definedName name="Print_Area_MI">#REF!</definedName>
    <definedName name="_xlnm.Print_Titles" localSheetId="3">'Exh 3-A-1 Actual'!$2:$11</definedName>
    <definedName name="_xlnm.Print_Titles" localSheetId="5">'Exh 3-A-1 Actual (SATC)'!$2:$13</definedName>
    <definedName name="_xlnm.Print_Titles" localSheetId="4">'Exh 3-A-1 Actual Sum'!$2:$10</definedName>
    <definedName name="_xlnm.Print_Titles" localSheetId="1">'Revrun Sales 97'!$1:$8</definedName>
    <definedName name="_xlnm.Print_Titles" localSheetId="2">'Revrun Sales 98'!$1:$8</definedName>
    <definedName name="RES_ADJFAC">#REF!</definedName>
    <definedName name="RES_CUST">#REF!</definedName>
    <definedName name="RES_PRO">#REF!</definedName>
    <definedName name="REVADJ">#REF!</definedName>
    <definedName name="REVADJ_LBORD">#REF!</definedName>
    <definedName name="REVADJ_TBORD">#REF!</definedName>
    <definedName name="SMAL_COM_ADJFAC">#REF!</definedName>
    <definedName name="SMAL_PUB_ADJFAC">#REF!</definedName>
    <definedName name="SMALL_COM_PRO">#REF!</definedName>
    <definedName name="SMALL_PUB_PRO">#REF!</definedName>
    <definedName name="SMALL_SVIS_CUST">#REF!</definedName>
    <definedName name="SMALL_SVIS_PRO">#REF!</definedName>
    <definedName name="SML_C_PA_ADJFAC">#REF!</definedName>
    <definedName name="SML_COM_PA_CUST">#REF!</definedName>
    <definedName name="SML_SVIS_ADJFAC">#REF!</definedName>
    <definedName name="TOT_LBS_BDU">#REF!</definedName>
    <definedName name="TOT_LBS_VOL">#REF!</definedName>
    <definedName name="TOTAL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4" l="1"/>
  <c r="F12" i="4"/>
  <c r="D13" i="4"/>
  <c r="F13" i="4"/>
  <c r="H13" i="4"/>
  <c r="I13" i="4"/>
  <c r="J13" i="4" s="1"/>
  <c r="D14" i="4"/>
  <c r="F14" i="4"/>
  <c r="H14" i="4"/>
  <c r="I14" i="4"/>
  <c r="D15" i="4"/>
  <c r="F15" i="4"/>
  <c r="H15" i="4"/>
  <c r="I15" i="4"/>
  <c r="B16" i="4"/>
  <c r="D16" i="4"/>
  <c r="F16" i="4"/>
  <c r="F17" i="4"/>
  <c r="I17" i="4"/>
  <c r="B18" i="4"/>
  <c r="F18" i="4"/>
  <c r="D20" i="4"/>
  <c r="F20" i="4"/>
  <c r="H20" i="4"/>
  <c r="I20" i="4"/>
  <c r="J20" i="4" s="1"/>
  <c r="K20" i="4"/>
  <c r="D21" i="4"/>
  <c r="F21" i="4"/>
  <c r="H21" i="4"/>
  <c r="I21" i="4"/>
  <c r="J21" i="4" s="1"/>
  <c r="D22" i="4"/>
  <c r="F22" i="4"/>
  <c r="H22" i="4"/>
  <c r="H23" i="4" s="1"/>
  <c r="G15" i="5" s="1"/>
  <c r="I22" i="4"/>
  <c r="B23" i="4"/>
  <c r="D23" i="4"/>
  <c r="C15" i="5" s="1"/>
  <c r="F23" i="4"/>
  <c r="F25" i="4"/>
  <c r="F28" i="4"/>
  <c r="D29" i="4"/>
  <c r="D31" i="4" s="1"/>
  <c r="F29" i="4"/>
  <c r="H29" i="4"/>
  <c r="I29" i="4"/>
  <c r="J29" i="4"/>
  <c r="J31" i="4" s="1"/>
  <c r="D30" i="4"/>
  <c r="F30" i="4"/>
  <c r="H30" i="4"/>
  <c r="H31" i="4" s="1"/>
  <c r="I30" i="4"/>
  <c r="J30" i="4" s="1"/>
  <c r="B31" i="4"/>
  <c r="B33" i="4" s="1"/>
  <c r="F31" i="4"/>
  <c r="D32" i="4"/>
  <c r="F32" i="4"/>
  <c r="I32" i="4"/>
  <c r="F33" i="4"/>
  <c r="H33" i="4"/>
  <c r="F36" i="4"/>
  <c r="D37" i="4"/>
  <c r="D39" i="4" s="1"/>
  <c r="F37" i="4"/>
  <c r="H37" i="4"/>
  <c r="I37" i="4"/>
  <c r="J37" i="4"/>
  <c r="D38" i="4"/>
  <c r="F38" i="4"/>
  <c r="H38" i="4"/>
  <c r="I38" i="4"/>
  <c r="J38" i="4" s="1"/>
  <c r="B39" i="4"/>
  <c r="B41" i="4" s="1"/>
  <c r="F39" i="4"/>
  <c r="H39" i="4"/>
  <c r="H41" i="4" s="1"/>
  <c r="F40" i="4"/>
  <c r="I40" i="4"/>
  <c r="F41" i="4"/>
  <c r="F44" i="4"/>
  <c r="D45" i="4"/>
  <c r="F45" i="4"/>
  <c r="H45" i="4"/>
  <c r="I45" i="4"/>
  <c r="D46" i="4"/>
  <c r="F46" i="4"/>
  <c r="H46" i="4"/>
  <c r="H47" i="4" s="1"/>
  <c r="H49" i="4" s="1"/>
  <c r="I46" i="4"/>
  <c r="B47" i="4"/>
  <c r="D47" i="4"/>
  <c r="F47" i="4"/>
  <c r="F48" i="4"/>
  <c r="I48" i="4"/>
  <c r="B49" i="4"/>
  <c r="F49" i="4"/>
  <c r="F54" i="4"/>
  <c r="D55" i="4"/>
  <c r="D58" i="4" s="1"/>
  <c r="F55" i="4"/>
  <c r="H55" i="4"/>
  <c r="I55" i="4"/>
  <c r="J55" i="4"/>
  <c r="D56" i="4"/>
  <c r="F56" i="4"/>
  <c r="H56" i="4"/>
  <c r="I56" i="4"/>
  <c r="J56" i="4" s="1"/>
  <c r="D57" i="4"/>
  <c r="F57" i="4"/>
  <c r="H57" i="4"/>
  <c r="I57" i="4"/>
  <c r="B58" i="4"/>
  <c r="F58" i="4"/>
  <c r="F59" i="4"/>
  <c r="I59" i="4"/>
  <c r="B60" i="4"/>
  <c r="F60" i="4"/>
  <c r="D62" i="4"/>
  <c r="F62" i="4"/>
  <c r="H62" i="4"/>
  <c r="I62" i="4"/>
  <c r="J62" i="4" s="1"/>
  <c r="K62" i="4"/>
  <c r="D63" i="4"/>
  <c r="F63" i="4"/>
  <c r="H63" i="4"/>
  <c r="I63" i="4"/>
  <c r="J63" i="4" s="1"/>
  <c r="D64" i="4"/>
  <c r="F64" i="4"/>
  <c r="H64" i="4"/>
  <c r="H65" i="4" s="1"/>
  <c r="G22" i="5" s="1"/>
  <c r="I64" i="4"/>
  <c r="B65" i="4"/>
  <c r="D65" i="4"/>
  <c r="F65" i="4"/>
  <c r="F67" i="4"/>
  <c r="F70" i="4"/>
  <c r="D71" i="4"/>
  <c r="F71" i="4"/>
  <c r="H71" i="4"/>
  <c r="I71" i="4"/>
  <c r="J71" i="4"/>
  <c r="D72" i="4"/>
  <c r="F72" i="4"/>
  <c r="H72" i="4"/>
  <c r="I72" i="4"/>
  <c r="J72" i="4" s="1"/>
  <c r="D73" i="4"/>
  <c r="F73" i="4"/>
  <c r="H73" i="4"/>
  <c r="I73" i="4"/>
  <c r="J73" i="4"/>
  <c r="B74" i="4"/>
  <c r="B76" i="4" s="1"/>
  <c r="B27" i="5" s="1"/>
  <c r="F74" i="4"/>
  <c r="H74" i="4"/>
  <c r="H76" i="4" s="1"/>
  <c r="J74" i="4"/>
  <c r="F75" i="4"/>
  <c r="I75" i="4"/>
  <c r="F76" i="4"/>
  <c r="D78" i="4"/>
  <c r="F78" i="4"/>
  <c r="H78" i="4"/>
  <c r="J78" i="4" s="1"/>
  <c r="I78" i="4"/>
  <c r="K78" i="4"/>
  <c r="D79" i="4"/>
  <c r="F79" i="4"/>
  <c r="H79" i="4"/>
  <c r="I79" i="4"/>
  <c r="J79" i="4" s="1"/>
  <c r="K79" i="4" s="1"/>
  <c r="D80" i="4"/>
  <c r="F80" i="4"/>
  <c r="H80" i="4"/>
  <c r="J80" i="4" s="1"/>
  <c r="K80" i="4" s="1"/>
  <c r="I80" i="4"/>
  <c r="B81" i="4"/>
  <c r="F81" i="4"/>
  <c r="H81" i="4"/>
  <c r="F83" i="4"/>
  <c r="F86" i="4"/>
  <c r="D87" i="4"/>
  <c r="F87" i="4"/>
  <c r="H87" i="4"/>
  <c r="I87" i="4"/>
  <c r="D88" i="4"/>
  <c r="F88" i="4"/>
  <c r="H88" i="4"/>
  <c r="I88" i="4"/>
  <c r="D89" i="4"/>
  <c r="F89" i="4"/>
  <c r="H89" i="4"/>
  <c r="I89" i="4"/>
  <c r="J89" i="4" s="1"/>
  <c r="D90" i="4"/>
  <c r="F90" i="4"/>
  <c r="H90" i="4"/>
  <c r="I90" i="4"/>
  <c r="J90" i="4"/>
  <c r="B91" i="4"/>
  <c r="F91" i="4"/>
  <c r="F92" i="4"/>
  <c r="I92" i="4"/>
  <c r="B93" i="4"/>
  <c r="B99" i="4" s="1"/>
  <c r="H99" i="4" s="1"/>
  <c r="F93" i="4"/>
  <c r="F95" i="4"/>
  <c r="D96" i="4"/>
  <c r="F96" i="4"/>
  <c r="H96" i="4"/>
  <c r="I96" i="4"/>
  <c r="D97" i="4"/>
  <c r="F97" i="4"/>
  <c r="H97" i="4"/>
  <c r="J97" i="4" s="1"/>
  <c r="I97" i="4"/>
  <c r="B98" i="4"/>
  <c r="D98" i="4"/>
  <c r="C35" i="5" s="1"/>
  <c r="F98" i="4"/>
  <c r="H98" i="4"/>
  <c r="G35" i="5" s="1"/>
  <c r="F99" i="4"/>
  <c r="D101" i="4"/>
  <c r="F101" i="4"/>
  <c r="H101" i="4"/>
  <c r="I101" i="4"/>
  <c r="J101" i="4" s="1"/>
  <c r="K101" i="4"/>
  <c r="D102" i="4"/>
  <c r="F102" i="4"/>
  <c r="H102" i="4"/>
  <c r="I102" i="4"/>
  <c r="J102" i="4" s="1"/>
  <c r="K102" i="4" s="1"/>
  <c r="D103" i="4"/>
  <c r="C37" i="5" s="1"/>
  <c r="F103" i="4"/>
  <c r="H103" i="4"/>
  <c r="I103" i="4"/>
  <c r="J103" i="4"/>
  <c r="K103" i="4"/>
  <c r="F104" i="4"/>
  <c r="D105" i="4"/>
  <c r="F105" i="4"/>
  <c r="H105" i="4"/>
  <c r="J105" i="4" s="1"/>
  <c r="J107" i="4" s="1"/>
  <c r="I105" i="4"/>
  <c r="D106" i="4"/>
  <c r="F106" i="4"/>
  <c r="H106" i="4"/>
  <c r="I106" i="4"/>
  <c r="J106" i="4"/>
  <c r="B107" i="4"/>
  <c r="B38" i="5" s="1"/>
  <c r="B39" i="5" s="1"/>
  <c r="F107" i="4"/>
  <c r="H107" i="4"/>
  <c r="B108" i="4"/>
  <c r="F108" i="4"/>
  <c r="B110" i="4"/>
  <c r="F110" i="4"/>
  <c r="F113" i="4"/>
  <c r="D114" i="4"/>
  <c r="F114" i="4"/>
  <c r="H114" i="4"/>
  <c r="I114" i="4"/>
  <c r="J114" i="4" s="1"/>
  <c r="D115" i="4"/>
  <c r="F115" i="4"/>
  <c r="H115" i="4"/>
  <c r="I115" i="4"/>
  <c r="B116" i="4"/>
  <c r="D116" i="4"/>
  <c r="F116" i="4"/>
  <c r="D117" i="4"/>
  <c r="F117" i="4"/>
  <c r="I117" i="4"/>
  <c r="B118" i="4"/>
  <c r="D118" i="4"/>
  <c r="F118" i="4"/>
  <c r="D120" i="4"/>
  <c r="F120" i="4"/>
  <c r="H120" i="4"/>
  <c r="I120" i="4"/>
  <c r="J120" i="4" s="1"/>
  <c r="K120" i="4" s="1"/>
  <c r="D121" i="4"/>
  <c r="F121" i="4"/>
  <c r="H121" i="4"/>
  <c r="I121" i="4"/>
  <c r="J121" i="4"/>
  <c r="K121" i="4" s="1"/>
  <c r="D122" i="4"/>
  <c r="F122" i="4"/>
  <c r="H122" i="4"/>
  <c r="I122" i="4"/>
  <c r="J122" i="4"/>
  <c r="B123" i="4"/>
  <c r="B125" i="4" s="1"/>
  <c r="F123" i="4"/>
  <c r="F125" i="4"/>
  <c r="F128" i="4"/>
  <c r="D129" i="4"/>
  <c r="F129" i="4"/>
  <c r="H129" i="4"/>
  <c r="I129" i="4"/>
  <c r="J129" i="4" s="1"/>
  <c r="D130" i="4"/>
  <c r="F130" i="4"/>
  <c r="H130" i="4"/>
  <c r="I130" i="4"/>
  <c r="D131" i="4"/>
  <c r="F131" i="4"/>
  <c r="H131" i="4"/>
  <c r="I131" i="4"/>
  <c r="J131" i="4" s="1"/>
  <c r="D132" i="4"/>
  <c r="F132" i="4"/>
  <c r="H132" i="4"/>
  <c r="I132" i="4"/>
  <c r="J132" i="4"/>
  <c r="B133" i="4"/>
  <c r="B135" i="4" s="1"/>
  <c r="F133" i="4"/>
  <c r="F134" i="4"/>
  <c r="I134" i="4"/>
  <c r="F135" i="4"/>
  <c r="F137" i="4"/>
  <c r="D138" i="4"/>
  <c r="F138" i="4"/>
  <c r="H138" i="4"/>
  <c r="I138" i="4"/>
  <c r="J138" i="4"/>
  <c r="D139" i="4"/>
  <c r="F139" i="4"/>
  <c r="H139" i="4"/>
  <c r="I139" i="4"/>
  <c r="J139" i="4"/>
  <c r="B140" i="4"/>
  <c r="F140" i="4"/>
  <c r="H140" i="4"/>
  <c r="F141" i="4"/>
  <c r="D143" i="4"/>
  <c r="F143" i="4"/>
  <c r="H143" i="4"/>
  <c r="I143" i="4"/>
  <c r="J143" i="4" s="1"/>
  <c r="K143" i="4" s="1"/>
  <c r="D144" i="4"/>
  <c r="C52" i="5" s="1"/>
  <c r="H144" i="4"/>
  <c r="I144" i="4"/>
  <c r="J144" i="4"/>
  <c r="K144" i="4"/>
  <c r="D145" i="4"/>
  <c r="F145" i="4"/>
  <c r="H145" i="4"/>
  <c r="I145" i="4"/>
  <c r="J145" i="4" s="1"/>
  <c r="K145" i="4" s="1"/>
  <c r="F146" i="4"/>
  <c r="D147" i="4"/>
  <c r="D149" i="4" s="1"/>
  <c r="F147" i="4"/>
  <c r="H147" i="4"/>
  <c r="I147" i="4"/>
  <c r="J147" i="4"/>
  <c r="D148" i="4"/>
  <c r="F148" i="4"/>
  <c r="H148" i="4"/>
  <c r="H149" i="4" s="1"/>
  <c r="G53" i="5" s="1"/>
  <c r="I148" i="4"/>
  <c r="J148" i="4" s="1"/>
  <c r="B149" i="4"/>
  <c r="F149" i="4"/>
  <c r="B150" i="4"/>
  <c r="F150" i="4"/>
  <c r="F152" i="4"/>
  <c r="F156" i="4"/>
  <c r="D157" i="4"/>
  <c r="F157" i="4"/>
  <c r="H157" i="4"/>
  <c r="I157" i="4"/>
  <c r="D158" i="4"/>
  <c r="F158" i="4"/>
  <c r="H158" i="4"/>
  <c r="I158" i="4"/>
  <c r="D159" i="4"/>
  <c r="F159" i="4"/>
  <c r="H159" i="4"/>
  <c r="J159" i="4" s="1"/>
  <c r="I159" i="4"/>
  <c r="D160" i="4"/>
  <c r="F160" i="4"/>
  <c r="H160" i="4"/>
  <c r="I160" i="4"/>
  <c r="J160" i="4" s="1"/>
  <c r="D161" i="4"/>
  <c r="F161" i="4"/>
  <c r="H161" i="4"/>
  <c r="J161" i="4" s="1"/>
  <c r="I161" i="4"/>
  <c r="B162" i="4"/>
  <c r="D162" i="4"/>
  <c r="F162" i="4"/>
  <c r="F163" i="4"/>
  <c r="B164" i="4"/>
  <c r="F164" i="4"/>
  <c r="F166" i="4"/>
  <c r="D167" i="4"/>
  <c r="D169" i="4" s="1"/>
  <c r="C59" i="5" s="1"/>
  <c r="F167" i="4"/>
  <c r="H167" i="4"/>
  <c r="I167" i="4"/>
  <c r="J167" i="4"/>
  <c r="D168" i="4"/>
  <c r="F168" i="4"/>
  <c r="H168" i="4"/>
  <c r="I168" i="4"/>
  <c r="J168" i="4" s="1"/>
  <c r="B169" i="4"/>
  <c r="F169" i="4"/>
  <c r="H169" i="4"/>
  <c r="F170" i="4"/>
  <c r="D172" i="4"/>
  <c r="F172" i="4"/>
  <c r="H172" i="4"/>
  <c r="I172" i="4"/>
  <c r="D173" i="4"/>
  <c r="H173" i="4"/>
  <c r="J173" i="4" s="1"/>
  <c r="I173" i="4"/>
  <c r="K173" i="4"/>
  <c r="D174" i="4"/>
  <c r="F174" i="4"/>
  <c r="H174" i="4"/>
  <c r="I174" i="4"/>
  <c r="J174" i="4" s="1"/>
  <c r="K174" i="4" s="1"/>
  <c r="D175" i="4"/>
  <c r="H175" i="4"/>
  <c r="I175" i="4"/>
  <c r="J175" i="4" s="1"/>
  <c r="D176" i="4"/>
  <c r="F176" i="4"/>
  <c r="H176" i="4"/>
  <c r="I176" i="4"/>
  <c r="J176" i="4" s="1"/>
  <c r="K176" i="4" s="1"/>
  <c r="F177" i="4"/>
  <c r="D178" i="4"/>
  <c r="F178" i="4"/>
  <c r="H178" i="4"/>
  <c r="I178" i="4"/>
  <c r="J178" i="4"/>
  <c r="D179" i="4"/>
  <c r="F179" i="4"/>
  <c r="H179" i="4"/>
  <c r="I179" i="4"/>
  <c r="J179" i="4"/>
  <c r="B180" i="4"/>
  <c r="F180" i="4"/>
  <c r="H180" i="4"/>
  <c r="H181" i="4" s="1"/>
  <c r="J180" i="4"/>
  <c r="B181" i="4"/>
  <c r="F181" i="4"/>
  <c r="F183" i="4"/>
  <c r="F189" i="4"/>
  <c r="D190" i="4"/>
  <c r="F190" i="4"/>
  <c r="H190" i="4"/>
  <c r="I190" i="4"/>
  <c r="J190" i="4" s="1"/>
  <c r="D191" i="4"/>
  <c r="F191" i="4"/>
  <c r="H191" i="4"/>
  <c r="H195" i="4" s="1"/>
  <c r="H197" i="4" s="1"/>
  <c r="I191" i="4"/>
  <c r="J191" i="4"/>
  <c r="D192" i="4"/>
  <c r="F192" i="4"/>
  <c r="H192" i="4"/>
  <c r="I192" i="4"/>
  <c r="J192" i="4" s="1"/>
  <c r="D193" i="4"/>
  <c r="F193" i="4"/>
  <c r="H193" i="4"/>
  <c r="J193" i="4" s="1"/>
  <c r="I193" i="4"/>
  <c r="D194" i="4"/>
  <c r="F194" i="4"/>
  <c r="H194" i="4"/>
  <c r="I194" i="4"/>
  <c r="J194" i="4"/>
  <c r="B195" i="4"/>
  <c r="F195" i="4"/>
  <c r="J195" i="4"/>
  <c r="J197" i="4" s="1"/>
  <c r="F196" i="4"/>
  <c r="B197" i="4"/>
  <c r="F199" i="4"/>
  <c r="D200" i="4"/>
  <c r="F200" i="4"/>
  <c r="H200" i="4"/>
  <c r="I200" i="4"/>
  <c r="J200" i="4" s="1"/>
  <c r="D201" i="4"/>
  <c r="F201" i="4"/>
  <c r="H201" i="4"/>
  <c r="J201" i="4" s="1"/>
  <c r="I201" i="4"/>
  <c r="B202" i="4"/>
  <c r="H202" i="4" s="1"/>
  <c r="G68" i="5" s="1"/>
  <c r="D202" i="4"/>
  <c r="F202" i="4"/>
  <c r="J202" i="4"/>
  <c r="F204" i="4"/>
  <c r="D206" i="4"/>
  <c r="F206" i="4"/>
  <c r="H206" i="4"/>
  <c r="I206" i="4"/>
  <c r="J206" i="4" s="1"/>
  <c r="D207" i="4"/>
  <c r="H207" i="4"/>
  <c r="I207" i="4"/>
  <c r="D208" i="4"/>
  <c r="H208" i="4"/>
  <c r="I208" i="4"/>
  <c r="J208" i="4" s="1"/>
  <c r="K208" i="4" s="1"/>
  <c r="D209" i="4"/>
  <c r="H209" i="4"/>
  <c r="J209" i="4" s="1"/>
  <c r="I209" i="4"/>
  <c r="K209" i="4"/>
  <c r="D210" i="4"/>
  <c r="F210" i="4"/>
  <c r="H210" i="4"/>
  <c r="I210" i="4"/>
  <c r="J210" i="4" s="1"/>
  <c r="K210" i="4" s="1"/>
  <c r="B211" i="4"/>
  <c r="F211" i="4"/>
  <c r="F212" i="4"/>
  <c r="D213" i="4"/>
  <c r="F213" i="4"/>
  <c r="H213" i="4"/>
  <c r="I213" i="4"/>
  <c r="D214" i="4"/>
  <c r="F214" i="4"/>
  <c r="H214" i="4"/>
  <c r="I214" i="4"/>
  <c r="B215" i="4"/>
  <c r="D215" i="4"/>
  <c r="D216" i="4" s="1"/>
  <c r="F215" i="4"/>
  <c r="F216" i="4"/>
  <c r="F218" i="4"/>
  <c r="G11" i="6"/>
  <c r="F14" i="6"/>
  <c r="D15" i="6"/>
  <c r="F15" i="6"/>
  <c r="G15" i="6"/>
  <c r="H15" i="6"/>
  <c r="I15" i="6"/>
  <c r="D16" i="6"/>
  <c r="F16" i="6"/>
  <c r="G16" i="6"/>
  <c r="I16" i="6"/>
  <c r="D17" i="6"/>
  <c r="F17" i="6"/>
  <c r="G17" i="6"/>
  <c r="I17" i="6"/>
  <c r="B18" i="6"/>
  <c r="B20" i="6" s="1"/>
  <c r="F18" i="6"/>
  <c r="G18" i="6"/>
  <c r="I18" i="6"/>
  <c r="I19" i="6" s="1"/>
  <c r="F19" i="6"/>
  <c r="F20" i="6"/>
  <c r="G20" i="6"/>
  <c r="G14" i="5" s="1"/>
  <c r="I20" i="6"/>
  <c r="F23" i="6"/>
  <c r="D24" i="6"/>
  <c r="F24" i="6"/>
  <c r="G24" i="6"/>
  <c r="H24" i="6"/>
  <c r="I24" i="6"/>
  <c r="D25" i="6"/>
  <c r="F25" i="6"/>
  <c r="G25" i="6"/>
  <c r="I25" i="6"/>
  <c r="D26" i="6"/>
  <c r="F26" i="6"/>
  <c r="G26" i="6"/>
  <c r="I26" i="6"/>
  <c r="B27" i="6"/>
  <c r="B29" i="6" s="1"/>
  <c r="B21" i="5" s="1"/>
  <c r="F27" i="6"/>
  <c r="G27" i="6"/>
  <c r="I27" i="6"/>
  <c r="F28" i="6"/>
  <c r="I28" i="6"/>
  <c r="F29" i="6"/>
  <c r="G29" i="6"/>
  <c r="G21" i="5" s="1"/>
  <c r="I29" i="6"/>
  <c r="F32" i="6"/>
  <c r="D33" i="6"/>
  <c r="D36" i="6" s="1"/>
  <c r="F33" i="6"/>
  <c r="G33" i="6"/>
  <c r="H33" i="6"/>
  <c r="I33" i="6"/>
  <c r="D34" i="6"/>
  <c r="F34" i="6"/>
  <c r="G34" i="6"/>
  <c r="I34" i="6"/>
  <c r="D35" i="6"/>
  <c r="F35" i="6"/>
  <c r="G35" i="6"/>
  <c r="I35" i="6"/>
  <c r="B36" i="6"/>
  <c r="B38" i="6" s="1"/>
  <c r="F36" i="6"/>
  <c r="G36" i="6"/>
  <c r="I36" i="6"/>
  <c r="F37" i="6"/>
  <c r="I37" i="6"/>
  <c r="F38" i="6"/>
  <c r="G38" i="6"/>
  <c r="F41" i="6"/>
  <c r="D42" i="6"/>
  <c r="D46" i="6" s="1"/>
  <c r="F42" i="6"/>
  <c r="G42" i="6"/>
  <c r="H42" i="6"/>
  <c r="I42" i="6"/>
  <c r="D43" i="6"/>
  <c r="F43" i="6"/>
  <c r="G43" i="6"/>
  <c r="I43" i="6"/>
  <c r="D44" i="6"/>
  <c r="F44" i="6"/>
  <c r="G44" i="6"/>
  <c r="I44" i="6"/>
  <c r="D45" i="6"/>
  <c r="F45" i="6"/>
  <c r="G45" i="6"/>
  <c r="I45" i="6"/>
  <c r="B46" i="6"/>
  <c r="B48" i="6" s="1"/>
  <c r="B36" i="5" s="1"/>
  <c r="F46" i="6"/>
  <c r="G46" i="6"/>
  <c r="I46" i="6"/>
  <c r="I47" i="6" s="1"/>
  <c r="F47" i="6"/>
  <c r="F48" i="6"/>
  <c r="G48" i="6"/>
  <c r="I48" i="6"/>
  <c r="F51" i="6"/>
  <c r="D52" i="6"/>
  <c r="F52" i="6"/>
  <c r="G52" i="6"/>
  <c r="H52" i="6"/>
  <c r="I52" i="6"/>
  <c r="D53" i="6"/>
  <c r="F53" i="6"/>
  <c r="G53" i="6"/>
  <c r="I53" i="6"/>
  <c r="B54" i="6"/>
  <c r="B56" i="6" s="1"/>
  <c r="B44" i="5" s="1"/>
  <c r="F54" i="6"/>
  <c r="G54" i="6"/>
  <c r="I54" i="6"/>
  <c r="F55" i="6"/>
  <c r="I55" i="6"/>
  <c r="I56" i="6" s="1"/>
  <c r="F56" i="6"/>
  <c r="G56" i="6"/>
  <c r="F59" i="6"/>
  <c r="D60" i="6"/>
  <c r="F60" i="6"/>
  <c r="G60" i="6"/>
  <c r="H60" i="6"/>
  <c r="I60" i="6"/>
  <c r="D61" i="6"/>
  <c r="F61" i="6"/>
  <c r="G61" i="6"/>
  <c r="I61" i="6"/>
  <c r="D62" i="6"/>
  <c r="F62" i="6"/>
  <c r="G62" i="6"/>
  <c r="I62" i="6"/>
  <c r="D63" i="6"/>
  <c r="F63" i="6"/>
  <c r="G63" i="6"/>
  <c r="I63" i="6"/>
  <c r="B64" i="6"/>
  <c r="B66" i="6" s="1"/>
  <c r="F64" i="6"/>
  <c r="G64" i="6"/>
  <c r="I64" i="6"/>
  <c r="F65" i="6"/>
  <c r="I65" i="6"/>
  <c r="I66" i="6" s="1"/>
  <c r="F66" i="6"/>
  <c r="G66" i="6"/>
  <c r="G51" i="5" s="1"/>
  <c r="G9" i="5"/>
  <c r="E11" i="5"/>
  <c r="B12" i="5"/>
  <c r="E12" i="5"/>
  <c r="B13" i="5"/>
  <c r="E13" i="5"/>
  <c r="E14" i="5"/>
  <c r="B15" i="5"/>
  <c r="E15" i="5"/>
  <c r="E16" i="5"/>
  <c r="E19" i="5"/>
  <c r="B20" i="5"/>
  <c r="E20" i="5"/>
  <c r="E21" i="5"/>
  <c r="B22" i="5"/>
  <c r="C22" i="5"/>
  <c r="E22" i="5"/>
  <c r="E23" i="5"/>
  <c r="E26" i="5"/>
  <c r="E27" i="5"/>
  <c r="B28" i="5"/>
  <c r="E28" i="5"/>
  <c r="G28" i="5"/>
  <c r="E29" i="5"/>
  <c r="G29" i="5"/>
  <c r="E30" i="5"/>
  <c r="E33" i="5"/>
  <c r="B34" i="5"/>
  <c r="E34" i="5"/>
  <c r="B35" i="5"/>
  <c r="E35" i="5"/>
  <c r="E36" i="5"/>
  <c r="G36" i="5"/>
  <c r="B37" i="5"/>
  <c r="E37" i="5"/>
  <c r="H37" i="5"/>
  <c r="I37" i="5" s="1"/>
  <c r="E38" i="5"/>
  <c r="G38" i="5"/>
  <c r="E39" i="5"/>
  <c r="E42" i="5"/>
  <c r="B43" i="5"/>
  <c r="C43" i="5"/>
  <c r="E43" i="5"/>
  <c r="E44" i="5"/>
  <c r="G44" i="5"/>
  <c r="B45" i="5"/>
  <c r="E45" i="5"/>
  <c r="E46" i="5"/>
  <c r="E48" i="5"/>
  <c r="E49" i="5"/>
  <c r="B50" i="5"/>
  <c r="E50" i="5"/>
  <c r="G50" i="5"/>
  <c r="B51" i="5"/>
  <c r="E51" i="5"/>
  <c r="B52" i="5"/>
  <c r="E52" i="5"/>
  <c r="G52" i="5"/>
  <c r="H52" i="5"/>
  <c r="I52" i="5" s="1"/>
  <c r="B53" i="5"/>
  <c r="E53" i="5"/>
  <c r="E54" i="5"/>
  <c r="E57" i="5"/>
  <c r="E58" i="5"/>
  <c r="B59" i="5"/>
  <c r="E59" i="5"/>
  <c r="G59" i="5"/>
  <c r="B60" i="5"/>
  <c r="C60" i="5"/>
  <c r="E60" i="5"/>
  <c r="G60" i="5"/>
  <c r="B61" i="5"/>
  <c r="C61" i="5"/>
  <c r="E61" i="5"/>
  <c r="G61" i="5"/>
  <c r="B62" i="5"/>
  <c r="E62" i="5"/>
  <c r="G62" i="5"/>
  <c r="E63" i="5"/>
  <c r="E66" i="5"/>
  <c r="E67" i="5"/>
  <c r="G67" i="5"/>
  <c r="B68" i="5"/>
  <c r="C68" i="5"/>
  <c r="E68" i="5"/>
  <c r="B69" i="5"/>
  <c r="E69" i="5"/>
  <c r="G69" i="5"/>
  <c r="B70" i="5"/>
  <c r="C70" i="5"/>
  <c r="E70" i="5"/>
  <c r="B71" i="5"/>
  <c r="C71" i="5"/>
  <c r="E71" i="5"/>
  <c r="G71" i="5"/>
  <c r="H71" i="5"/>
  <c r="I71" i="5" s="1"/>
  <c r="E72" i="5"/>
  <c r="C10" i="2"/>
  <c r="D10" i="2" s="1"/>
  <c r="E10" i="2" s="1"/>
  <c r="F10" i="2" s="1"/>
  <c r="G10" i="2" s="1"/>
  <c r="H10" i="2" s="1"/>
  <c r="I10" i="2"/>
  <c r="J10" i="2" s="1"/>
  <c r="K10" i="2"/>
  <c r="L10" i="2" s="1"/>
  <c r="M10" i="2" s="1"/>
  <c r="N10" i="2" s="1"/>
  <c r="C12" i="2"/>
  <c r="D12" i="2"/>
  <c r="E12" i="2"/>
  <c r="F12" i="2"/>
  <c r="F29" i="2" s="1"/>
  <c r="F85" i="2" s="1"/>
  <c r="G12" i="2"/>
  <c r="H12" i="2"/>
  <c r="I12" i="2"/>
  <c r="J12" i="2"/>
  <c r="J29" i="2" s="1"/>
  <c r="J85" i="2" s="1"/>
  <c r="K12" i="2"/>
  <c r="L12" i="2"/>
  <c r="M12" i="2"/>
  <c r="N12" i="2"/>
  <c r="N29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C29" i="2"/>
  <c r="D29" i="2"/>
  <c r="E29" i="2"/>
  <c r="G29" i="2"/>
  <c r="H29" i="2"/>
  <c r="I29" i="2"/>
  <c r="I85" i="2" s="1"/>
  <c r="K29" i="2"/>
  <c r="L29" i="2"/>
  <c r="M29" i="2"/>
  <c r="M85" i="2" s="1"/>
  <c r="C34" i="2"/>
  <c r="D34" i="2"/>
  <c r="E34" i="2"/>
  <c r="F34" i="2" s="1"/>
  <c r="G34" i="2" s="1"/>
  <c r="H34" i="2" s="1"/>
  <c r="I34" i="2"/>
  <c r="J34" i="2"/>
  <c r="K34" i="2" s="1"/>
  <c r="L34" i="2" s="1"/>
  <c r="M34" i="2" s="1"/>
  <c r="N34" i="2" s="1"/>
  <c r="O36" i="2"/>
  <c r="O37" i="2"/>
  <c r="O38" i="2"/>
  <c r="C37" i="1" s="1"/>
  <c r="O39" i="2"/>
  <c r="O40" i="2"/>
  <c r="O41" i="2"/>
  <c r="O42" i="2"/>
  <c r="C41" i="1" s="1"/>
  <c r="O43" i="2"/>
  <c r="O44" i="2"/>
  <c r="O45" i="2"/>
  <c r="O46" i="2"/>
  <c r="C45" i="1" s="1"/>
  <c r="O47" i="2"/>
  <c r="O48" i="2"/>
  <c r="O49" i="2"/>
  <c r="O50" i="2"/>
  <c r="C49" i="1" s="1"/>
  <c r="O51" i="2"/>
  <c r="O52" i="2"/>
  <c r="O53" i="2"/>
  <c r="O54" i="2"/>
  <c r="C53" i="1" s="1"/>
  <c r="O55" i="2"/>
  <c r="O56" i="2"/>
  <c r="O57" i="2"/>
  <c r="C59" i="2"/>
  <c r="D59" i="2"/>
  <c r="E59" i="2"/>
  <c r="F59" i="2"/>
  <c r="G59" i="2"/>
  <c r="H59" i="2"/>
  <c r="I59" i="2"/>
  <c r="J59" i="2"/>
  <c r="K59" i="2"/>
  <c r="L59" i="2"/>
  <c r="M59" i="2"/>
  <c r="N59" i="2"/>
  <c r="C64" i="2"/>
  <c r="D64" i="2" s="1"/>
  <c r="E64" i="2" s="1"/>
  <c r="F64" i="2" s="1"/>
  <c r="G64" i="2" s="1"/>
  <c r="H64" i="2" s="1"/>
  <c r="I64" i="2" s="1"/>
  <c r="J64" i="2" s="1"/>
  <c r="K64" i="2" s="1"/>
  <c r="L64" i="2" s="1"/>
  <c r="M64" i="2" s="1"/>
  <c r="N64" i="2" s="1"/>
  <c r="O66" i="2"/>
  <c r="O67" i="2"/>
  <c r="O68" i="2"/>
  <c r="O69" i="2"/>
  <c r="O70" i="2"/>
  <c r="O71" i="2"/>
  <c r="O72" i="2"/>
  <c r="O73" i="2"/>
  <c r="O74" i="2"/>
  <c r="C65" i="1" s="1"/>
  <c r="O75" i="2"/>
  <c r="O76" i="2"/>
  <c r="O77" i="2"/>
  <c r="O78" i="2"/>
  <c r="C69" i="1" s="1"/>
  <c r="O79" i="2"/>
  <c r="C82" i="2"/>
  <c r="C85" i="2" s="1"/>
  <c r="D82" i="2"/>
  <c r="E82" i="2"/>
  <c r="F82" i="2"/>
  <c r="G82" i="2"/>
  <c r="G85" i="2" s="1"/>
  <c r="H82" i="2"/>
  <c r="I82" i="2"/>
  <c r="J82" i="2"/>
  <c r="K82" i="2"/>
  <c r="L82" i="2"/>
  <c r="M82" i="2"/>
  <c r="N82" i="2"/>
  <c r="O82" i="2"/>
  <c r="C73" i="1" s="1"/>
  <c r="D85" i="2"/>
  <c r="H85" i="2"/>
  <c r="L85" i="2"/>
  <c r="N85" i="2"/>
  <c r="C10" i="3"/>
  <c r="D10" i="3" s="1"/>
  <c r="E10" i="3"/>
  <c r="F10" i="3"/>
  <c r="G10" i="3"/>
  <c r="H10" i="3" s="1"/>
  <c r="I10" i="3" s="1"/>
  <c r="J10" i="3" s="1"/>
  <c r="K10" i="3" s="1"/>
  <c r="L10" i="3" s="1"/>
  <c r="M10" i="3" s="1"/>
  <c r="N10" i="3" s="1"/>
  <c r="C12" i="3"/>
  <c r="C28" i="3" s="1"/>
  <c r="C78" i="3" s="1"/>
  <c r="D12" i="3"/>
  <c r="E12" i="3"/>
  <c r="F12" i="3"/>
  <c r="G12" i="3"/>
  <c r="G28" i="3" s="1"/>
  <c r="G78" i="3" s="1"/>
  <c r="H12" i="3"/>
  <c r="I12" i="3"/>
  <c r="J12" i="3"/>
  <c r="K12" i="3"/>
  <c r="K28" i="3" s="1"/>
  <c r="L12" i="3"/>
  <c r="M12" i="3"/>
  <c r="N12" i="3"/>
  <c r="O12" i="3"/>
  <c r="O13" i="3"/>
  <c r="D14" i="1" s="1"/>
  <c r="O14" i="3"/>
  <c r="O15" i="3"/>
  <c r="O16" i="3"/>
  <c r="D17" i="1" s="1"/>
  <c r="O17" i="3"/>
  <c r="D18" i="1" s="1"/>
  <c r="O18" i="3"/>
  <c r="O19" i="3"/>
  <c r="O20" i="3"/>
  <c r="D22" i="1" s="1"/>
  <c r="O21" i="3"/>
  <c r="O22" i="3"/>
  <c r="O23" i="3"/>
  <c r="O24" i="3"/>
  <c r="D26" i="1" s="1"/>
  <c r="O25" i="3"/>
  <c r="O26" i="3"/>
  <c r="D28" i="3"/>
  <c r="E28" i="3"/>
  <c r="F28" i="3"/>
  <c r="H28" i="3"/>
  <c r="I28" i="3"/>
  <c r="J28" i="3"/>
  <c r="J78" i="3" s="1"/>
  <c r="L28" i="3"/>
  <c r="M28" i="3"/>
  <c r="N28" i="3"/>
  <c r="N78" i="3" s="1"/>
  <c r="C33" i="3"/>
  <c r="D33" i="3" s="1"/>
  <c r="E33" i="3" s="1"/>
  <c r="F33" i="3" s="1"/>
  <c r="G33" i="3" s="1"/>
  <c r="H33" i="3" s="1"/>
  <c r="I33" i="3" s="1"/>
  <c r="J33" i="3" s="1"/>
  <c r="K33" i="3" s="1"/>
  <c r="L33" i="3" s="1"/>
  <c r="M33" i="3" s="1"/>
  <c r="N33" i="3" s="1"/>
  <c r="O35" i="3"/>
  <c r="O36" i="3"/>
  <c r="O37" i="3"/>
  <c r="D37" i="1" s="1"/>
  <c r="O38" i="3"/>
  <c r="O39" i="3"/>
  <c r="O40" i="3"/>
  <c r="O41" i="3"/>
  <c r="D41" i="1" s="1"/>
  <c r="O42" i="3"/>
  <c r="O43" i="3"/>
  <c r="O44" i="3"/>
  <c r="O45" i="3"/>
  <c r="O46" i="3"/>
  <c r="O47" i="3"/>
  <c r="O48" i="3"/>
  <c r="D48" i="1" s="1"/>
  <c r="O49" i="3"/>
  <c r="O50" i="3"/>
  <c r="O51" i="3"/>
  <c r="O52" i="3"/>
  <c r="O53" i="3"/>
  <c r="D53" i="1" s="1"/>
  <c r="O54" i="3"/>
  <c r="O55" i="3"/>
  <c r="O56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D58" i="1" s="1"/>
  <c r="C63" i="3"/>
  <c r="D63" i="3"/>
  <c r="E63" i="3"/>
  <c r="F63" i="3"/>
  <c r="G63" i="3" s="1"/>
  <c r="H63" i="3"/>
  <c r="I63" i="3" s="1"/>
  <c r="J63" i="3" s="1"/>
  <c r="K63" i="3" s="1"/>
  <c r="L63" i="3" s="1"/>
  <c r="M63" i="3" s="1"/>
  <c r="N63" i="3" s="1"/>
  <c r="O65" i="3"/>
  <c r="O66" i="3"/>
  <c r="O67" i="3"/>
  <c r="O68" i="3"/>
  <c r="D66" i="1" s="1"/>
  <c r="O69" i="3"/>
  <c r="O70" i="3"/>
  <c r="O71" i="3"/>
  <c r="D69" i="1" s="1"/>
  <c r="O72" i="3"/>
  <c r="D70" i="1" s="1"/>
  <c r="C75" i="3"/>
  <c r="D75" i="3"/>
  <c r="E75" i="3"/>
  <c r="F75" i="3"/>
  <c r="G75" i="3"/>
  <c r="H75" i="3"/>
  <c r="H78" i="3" s="1"/>
  <c r="I75" i="3"/>
  <c r="I78" i="3" s="1"/>
  <c r="J75" i="3"/>
  <c r="K75" i="3"/>
  <c r="L75" i="3"/>
  <c r="L78" i="3" s="1"/>
  <c r="M75" i="3"/>
  <c r="M78" i="3" s="1"/>
  <c r="N75" i="3"/>
  <c r="D78" i="3"/>
  <c r="E78" i="3"/>
  <c r="K78" i="3"/>
  <c r="A11" i="1"/>
  <c r="A13" i="1"/>
  <c r="A14" i="1"/>
  <c r="C14" i="1"/>
  <c r="A15" i="1"/>
  <c r="C15" i="1"/>
  <c r="D15" i="1"/>
  <c r="A16" i="1"/>
  <c r="C16" i="1"/>
  <c r="D16" i="1"/>
  <c r="A17" i="1"/>
  <c r="C17" i="1"/>
  <c r="A18" i="1"/>
  <c r="C18" i="1"/>
  <c r="A19" i="1"/>
  <c r="C19" i="1"/>
  <c r="D19" i="1"/>
  <c r="A20" i="1"/>
  <c r="C20" i="1"/>
  <c r="D20" i="1"/>
  <c r="A21" i="1"/>
  <c r="C21" i="1"/>
  <c r="A22" i="1"/>
  <c r="C22" i="1"/>
  <c r="A23" i="1"/>
  <c r="C23" i="1"/>
  <c r="D23" i="1"/>
  <c r="A24" i="1"/>
  <c r="C24" i="1"/>
  <c r="D24" i="1"/>
  <c r="A25" i="1"/>
  <c r="C25" i="1"/>
  <c r="D25" i="1"/>
  <c r="A26" i="1"/>
  <c r="C26" i="1"/>
  <c r="A27" i="1"/>
  <c r="C27" i="1"/>
  <c r="D27" i="1"/>
  <c r="A28" i="1"/>
  <c r="C28" i="1"/>
  <c r="D28" i="1"/>
  <c r="A30" i="1"/>
  <c r="A35" i="1"/>
  <c r="C35" i="1"/>
  <c r="D35" i="1"/>
  <c r="A36" i="1"/>
  <c r="C36" i="1"/>
  <c r="D36" i="1"/>
  <c r="A37" i="1"/>
  <c r="A38" i="1"/>
  <c r="C38" i="1"/>
  <c r="D38" i="1"/>
  <c r="A39" i="1"/>
  <c r="C39" i="1"/>
  <c r="D39" i="1"/>
  <c r="A40" i="1"/>
  <c r="C40" i="1"/>
  <c r="D40" i="1"/>
  <c r="A41" i="1"/>
  <c r="A42" i="1"/>
  <c r="C42" i="1"/>
  <c r="D42" i="1"/>
  <c r="A43" i="1"/>
  <c r="C43" i="1"/>
  <c r="D43" i="1"/>
  <c r="A44" i="1"/>
  <c r="C44" i="1"/>
  <c r="D44" i="1"/>
  <c r="A45" i="1"/>
  <c r="D45" i="1"/>
  <c r="A46" i="1"/>
  <c r="C46" i="1"/>
  <c r="D46" i="1"/>
  <c r="A47" i="1"/>
  <c r="C47" i="1"/>
  <c r="D47" i="1"/>
  <c r="A48" i="1"/>
  <c r="C48" i="1"/>
  <c r="A49" i="1"/>
  <c r="D49" i="1"/>
  <c r="A50" i="1"/>
  <c r="C50" i="1"/>
  <c r="D50" i="1"/>
  <c r="A51" i="1"/>
  <c r="C51" i="1"/>
  <c r="D51" i="1"/>
  <c r="A52" i="1"/>
  <c r="C52" i="1"/>
  <c r="D52" i="1"/>
  <c r="A53" i="1"/>
  <c r="A54" i="1"/>
  <c r="C54" i="1"/>
  <c r="D54" i="1"/>
  <c r="A55" i="1"/>
  <c r="C55" i="1"/>
  <c r="D55" i="1"/>
  <c r="A56" i="1"/>
  <c r="C56" i="1"/>
  <c r="D56" i="1"/>
  <c r="A63" i="1"/>
  <c r="C63" i="1"/>
  <c r="D63" i="1"/>
  <c r="A64" i="1"/>
  <c r="C64" i="1"/>
  <c r="A65" i="1"/>
  <c r="D65" i="1"/>
  <c r="A66" i="1"/>
  <c r="C66" i="1"/>
  <c r="A67" i="1"/>
  <c r="C67" i="1"/>
  <c r="D67" i="1"/>
  <c r="A68" i="1"/>
  <c r="C68" i="1"/>
  <c r="D68" i="1"/>
  <c r="A69" i="1"/>
  <c r="A70" i="1"/>
  <c r="C70" i="1"/>
  <c r="A76" i="1"/>
  <c r="O28" i="3" l="1"/>
  <c r="K85" i="2"/>
  <c r="G72" i="5"/>
  <c r="H44" i="5"/>
  <c r="H36" i="5"/>
  <c r="D47" i="6"/>
  <c r="D48" i="6"/>
  <c r="C36" i="5" s="1"/>
  <c r="H21" i="5"/>
  <c r="D163" i="4"/>
  <c r="D164" i="4" s="1"/>
  <c r="J32" i="4"/>
  <c r="J33" i="4"/>
  <c r="O75" i="3"/>
  <c r="D73" i="1" s="1"/>
  <c r="J204" i="4"/>
  <c r="H67" i="5"/>
  <c r="B58" i="5"/>
  <c r="B63" i="5" s="1"/>
  <c r="B170" i="4"/>
  <c r="J149" i="4"/>
  <c r="D150" i="4"/>
  <c r="C53" i="5"/>
  <c r="K122" i="4"/>
  <c r="J123" i="4"/>
  <c r="D64" i="1"/>
  <c r="D13" i="1"/>
  <c r="B23" i="5"/>
  <c r="H51" i="5"/>
  <c r="B14" i="5"/>
  <c r="B16" i="5" s="1"/>
  <c r="B70" i="6"/>
  <c r="K202" i="4"/>
  <c r="H68" i="5"/>
  <c r="I68" i="5" s="1"/>
  <c r="H60" i="5"/>
  <c r="I60" i="5" s="1"/>
  <c r="K175" i="4"/>
  <c r="D59" i="4"/>
  <c r="D60" i="4"/>
  <c r="F78" i="3"/>
  <c r="O59" i="2"/>
  <c r="C58" i="1" s="1"/>
  <c r="E85" i="2"/>
  <c r="G70" i="6"/>
  <c r="H14" i="5"/>
  <c r="D18" i="6"/>
  <c r="H211" i="4"/>
  <c r="H216" i="4" s="1"/>
  <c r="G70" i="5"/>
  <c r="H62" i="5"/>
  <c r="H162" i="4"/>
  <c r="H164" i="4" s="1"/>
  <c r="G58" i="5" s="1"/>
  <c r="G63" i="5" s="1"/>
  <c r="H38" i="5"/>
  <c r="J108" i="4"/>
  <c r="K63" i="4"/>
  <c r="H58" i="4"/>
  <c r="H60" i="4" s="1"/>
  <c r="J45" i="4"/>
  <c r="J39" i="4"/>
  <c r="D40" i="4"/>
  <c r="D41" i="4"/>
  <c r="B46" i="5"/>
  <c r="K206" i="4"/>
  <c r="H69" i="5"/>
  <c r="D180" i="4"/>
  <c r="J169" i="4"/>
  <c r="J130" i="4"/>
  <c r="J133" i="4" s="1"/>
  <c r="H133" i="4"/>
  <c r="H135" i="4" s="1"/>
  <c r="G49" i="5" s="1"/>
  <c r="G54" i="5" s="1"/>
  <c r="D123" i="4"/>
  <c r="C45" i="5" s="1"/>
  <c r="J115" i="4"/>
  <c r="J116" i="4" s="1"/>
  <c r="H116" i="4"/>
  <c r="H118" i="4" s="1"/>
  <c r="D48" i="4"/>
  <c r="D49" i="4"/>
  <c r="G13" i="5"/>
  <c r="D33" i="4"/>
  <c r="C13" i="5" s="1"/>
  <c r="H16" i="4"/>
  <c r="H18" i="4" s="1"/>
  <c r="O12" i="2"/>
  <c r="D54" i="6"/>
  <c r="I38" i="6"/>
  <c r="D37" i="6"/>
  <c r="D38" i="6"/>
  <c r="C28" i="5" s="1"/>
  <c r="J214" i="4"/>
  <c r="H215" i="4"/>
  <c r="J207" i="4"/>
  <c r="B204" i="4"/>
  <c r="B67" i="5"/>
  <c r="B72" i="5" s="1"/>
  <c r="J172" i="4"/>
  <c r="J157" i="4"/>
  <c r="B141" i="4"/>
  <c r="B49" i="5"/>
  <c r="B54" i="5" s="1"/>
  <c r="J88" i="4"/>
  <c r="H91" i="4"/>
  <c r="H93" i="4" s="1"/>
  <c r="G34" i="5" s="1"/>
  <c r="G39" i="5" s="1"/>
  <c r="B29" i="5"/>
  <c r="B30" i="5" s="1"/>
  <c r="B83" i="4"/>
  <c r="J75" i="4"/>
  <c r="J76" i="4" s="1"/>
  <c r="K21" i="4"/>
  <c r="J23" i="4"/>
  <c r="D17" i="4"/>
  <c r="D18" i="4" s="1"/>
  <c r="D64" i="6"/>
  <c r="D27" i="6"/>
  <c r="J140" i="4"/>
  <c r="D140" i="4"/>
  <c r="C50" i="5" s="1"/>
  <c r="D133" i="4"/>
  <c r="J96" i="4"/>
  <c r="J98" i="4" s="1"/>
  <c r="D91" i="4"/>
  <c r="H83" i="4"/>
  <c r="G27" i="5"/>
  <c r="G30" i="5" s="1"/>
  <c r="D74" i="4"/>
  <c r="J46" i="4"/>
  <c r="J14" i="4"/>
  <c r="J16" i="4" s="1"/>
  <c r="B216" i="4"/>
  <c r="D211" i="4"/>
  <c r="C69" i="5"/>
  <c r="D195" i="4"/>
  <c r="H150" i="4"/>
  <c r="H123" i="4"/>
  <c r="G45" i="5" s="1"/>
  <c r="H108" i="4"/>
  <c r="H110" i="4" s="1"/>
  <c r="G37" i="5"/>
  <c r="J87" i="4"/>
  <c r="J91" i="4" s="1"/>
  <c r="J81" i="4"/>
  <c r="J57" i="4"/>
  <c r="J58" i="4" s="1"/>
  <c r="J15" i="4"/>
  <c r="J213" i="4"/>
  <c r="J158" i="4"/>
  <c r="D107" i="4"/>
  <c r="J92" i="4"/>
  <c r="D81" i="4"/>
  <c r="C29" i="5" s="1"/>
  <c r="J64" i="4"/>
  <c r="K64" i="4" s="1"/>
  <c r="B67" i="4"/>
  <c r="J22" i="4"/>
  <c r="K22" i="4" s="1"/>
  <c r="B25" i="4"/>
  <c r="B51" i="4" s="1"/>
  <c r="J59" i="4" l="1"/>
  <c r="J60" i="4" s="1"/>
  <c r="B76" i="5"/>
  <c r="D170" i="4"/>
  <c r="D183" i="4" s="1"/>
  <c r="C58" i="5"/>
  <c r="C63" i="5" s="1"/>
  <c r="D63" i="5" s="1"/>
  <c r="J18" i="4"/>
  <c r="J17" i="4"/>
  <c r="D25" i="4"/>
  <c r="D51" i="4" s="1"/>
  <c r="C12" i="5"/>
  <c r="J118" i="4"/>
  <c r="J117" i="4"/>
  <c r="D92" i="4"/>
  <c r="D93" i="4"/>
  <c r="H50" i="5"/>
  <c r="I50" i="5" s="1"/>
  <c r="K140" i="4"/>
  <c r="D55" i="6"/>
  <c r="D56" i="6"/>
  <c r="G43" i="5"/>
  <c r="G46" i="5" s="1"/>
  <c r="H125" i="4"/>
  <c r="J134" i="4"/>
  <c r="J135" i="4" s="1"/>
  <c r="J41" i="4"/>
  <c r="K41" i="4" s="1"/>
  <c r="J40" i="4"/>
  <c r="B75" i="6"/>
  <c r="B73" i="6"/>
  <c r="H170" i="4"/>
  <c r="H183" i="4" s="1"/>
  <c r="B183" i="4"/>
  <c r="K33" i="4"/>
  <c r="D30" i="1"/>
  <c r="D76" i="1" s="1"/>
  <c r="O78" i="3"/>
  <c r="K81" i="4"/>
  <c r="H29" i="5"/>
  <c r="I29" i="5" s="1"/>
  <c r="D76" i="4"/>
  <c r="D75" i="4"/>
  <c r="K98" i="4"/>
  <c r="H35" i="5"/>
  <c r="I35" i="5" s="1"/>
  <c r="D28" i="6"/>
  <c r="D29" i="6" s="1"/>
  <c r="H15" i="5"/>
  <c r="I15" i="5" s="1"/>
  <c r="K23" i="4"/>
  <c r="B152" i="4"/>
  <c r="B221" i="4" s="1"/>
  <c r="H141" i="4"/>
  <c r="H152" i="4" s="1"/>
  <c r="H204" i="4"/>
  <c r="H218" i="4" s="1"/>
  <c r="B218" i="4"/>
  <c r="K169" i="4"/>
  <c r="H59" i="5"/>
  <c r="I59" i="5" s="1"/>
  <c r="J47" i="4"/>
  <c r="K108" i="4"/>
  <c r="I62" i="5"/>
  <c r="D19" i="6"/>
  <c r="D20" i="6"/>
  <c r="D67" i="4"/>
  <c r="C20" i="5"/>
  <c r="J215" i="4"/>
  <c r="J93" i="4"/>
  <c r="D135" i="4"/>
  <c r="D134" i="4"/>
  <c r="D65" i="6"/>
  <c r="D66" i="6"/>
  <c r="J162" i="4"/>
  <c r="J164" i="4" s="1"/>
  <c r="K207" i="4"/>
  <c r="H70" i="5"/>
  <c r="I70" i="5" s="1"/>
  <c r="J211" i="4"/>
  <c r="K211" i="4" s="1"/>
  <c r="O29" i="2"/>
  <c r="C13" i="1"/>
  <c r="D181" i="4"/>
  <c r="C62" i="5"/>
  <c r="G20" i="5"/>
  <c r="G23" i="5" s="1"/>
  <c r="H67" i="4"/>
  <c r="K180" i="4"/>
  <c r="I36" i="5"/>
  <c r="C38" i="5"/>
  <c r="I38" i="5" s="1"/>
  <c r="D108" i="4"/>
  <c r="D196" i="4"/>
  <c r="D197" i="4"/>
  <c r="K76" i="4"/>
  <c r="J83" i="4"/>
  <c r="H27" i="5"/>
  <c r="K172" i="4"/>
  <c r="H61" i="5"/>
  <c r="I61" i="5" s="1"/>
  <c r="J181" i="4"/>
  <c r="K181" i="4" s="1"/>
  <c r="J38" i="6"/>
  <c r="H28" i="5"/>
  <c r="I28" i="5" s="1"/>
  <c r="G12" i="5"/>
  <c r="G16" i="5" s="1"/>
  <c r="G76" i="5" s="1"/>
  <c r="H25" i="4"/>
  <c r="H51" i="4" s="1"/>
  <c r="H221" i="4" s="1"/>
  <c r="I69" i="5"/>
  <c r="J65" i="4"/>
  <c r="K107" i="4"/>
  <c r="I70" i="6"/>
  <c r="H45" i="5"/>
  <c r="I45" i="5" s="1"/>
  <c r="K123" i="4"/>
  <c r="K149" i="4"/>
  <c r="J150" i="4"/>
  <c r="K150" i="4" s="1"/>
  <c r="H53" i="5"/>
  <c r="I53" i="5" s="1"/>
  <c r="H72" i="5"/>
  <c r="D125" i="4"/>
  <c r="J48" i="6"/>
  <c r="B228" i="4" l="1"/>
  <c r="B81" i="5"/>
  <c r="B230" i="4"/>
  <c r="B82" i="5"/>
  <c r="B77" i="5"/>
  <c r="C21" i="5"/>
  <c r="I21" i="5" s="1"/>
  <c r="J29" i="6"/>
  <c r="K135" i="4"/>
  <c r="J141" i="4"/>
  <c r="H49" i="5"/>
  <c r="J67" i="4"/>
  <c r="K67" i="4" s="1"/>
  <c r="K60" i="4"/>
  <c r="H20" i="5"/>
  <c r="C44" i="5"/>
  <c r="J56" i="6"/>
  <c r="C34" i="5"/>
  <c r="C39" i="5" s="1"/>
  <c r="D39" i="5" s="1"/>
  <c r="D99" i="4"/>
  <c r="D110" i="4" s="1"/>
  <c r="C16" i="5"/>
  <c r="K65" i="4"/>
  <c r="H22" i="5"/>
  <c r="I22" i="5" s="1"/>
  <c r="C67" i="5"/>
  <c r="D204" i="4"/>
  <c r="K197" i="4"/>
  <c r="C51" i="5"/>
  <c r="I51" i="5" s="1"/>
  <c r="J66" i="6"/>
  <c r="J99" i="4"/>
  <c r="H34" i="5"/>
  <c r="K93" i="4"/>
  <c r="C14" i="5"/>
  <c r="I14" i="5" s="1"/>
  <c r="D70" i="6"/>
  <c r="J20" i="6"/>
  <c r="J49" i="4"/>
  <c r="K49" i="4" s="1"/>
  <c r="J48" i="4"/>
  <c r="H30" i="5"/>
  <c r="J30" i="5" s="1"/>
  <c r="I27" i="5"/>
  <c r="I30" i="5" s="1"/>
  <c r="J216" i="4"/>
  <c r="K215" i="4"/>
  <c r="B83" i="5"/>
  <c r="K164" i="4"/>
  <c r="H58" i="5"/>
  <c r="J170" i="4"/>
  <c r="J70" i="6"/>
  <c r="G77" i="5"/>
  <c r="G81" i="5"/>
  <c r="G82" i="5"/>
  <c r="G83" i="5" s="1"/>
  <c r="C23" i="5"/>
  <c r="D23" i="5" s="1"/>
  <c r="D83" i="4"/>
  <c r="C27" i="5"/>
  <c r="C30" i="5" s="1"/>
  <c r="K118" i="4"/>
  <c r="H43" i="5"/>
  <c r="J125" i="4"/>
  <c r="K125" i="4" s="1"/>
  <c r="J25" i="4"/>
  <c r="H12" i="5"/>
  <c r="K18" i="4"/>
  <c r="C30" i="1"/>
  <c r="C76" i="1" s="1"/>
  <c r="O85" i="2"/>
  <c r="D141" i="4"/>
  <c r="D152" i="4" s="1"/>
  <c r="C49" i="5"/>
  <c r="I12" i="5" l="1"/>
  <c r="H16" i="5"/>
  <c r="K83" i="4"/>
  <c r="D75" i="6"/>
  <c r="D73" i="6"/>
  <c r="K99" i="4"/>
  <c r="J110" i="4"/>
  <c r="K110" i="4" s="1"/>
  <c r="D218" i="4"/>
  <c r="D221" i="4" s="1"/>
  <c r="K204" i="4"/>
  <c r="D16" i="5"/>
  <c r="C46" i="5"/>
  <c r="D46" i="5" s="1"/>
  <c r="I44" i="5"/>
  <c r="H54" i="5"/>
  <c r="I49" i="5"/>
  <c r="I54" i="5" s="1"/>
  <c r="I58" i="5"/>
  <c r="I63" i="5" s="1"/>
  <c r="H63" i="5"/>
  <c r="J63" i="5" s="1"/>
  <c r="C54" i="5"/>
  <c r="D54" i="5" s="1"/>
  <c r="H46" i="5"/>
  <c r="J46" i="5" s="1"/>
  <c r="I43" i="5"/>
  <c r="H13" i="5"/>
  <c r="I13" i="5" s="1"/>
  <c r="I34" i="5"/>
  <c r="I39" i="5" s="1"/>
  <c r="H39" i="5"/>
  <c r="J39" i="5" s="1"/>
  <c r="J51" i="4"/>
  <c r="K25" i="4"/>
  <c r="D30" i="5"/>
  <c r="J183" i="4"/>
  <c r="K183" i="4" s="1"/>
  <c r="K170" i="4"/>
  <c r="K216" i="4"/>
  <c r="J218" i="4"/>
  <c r="K218" i="4" s="1"/>
  <c r="C72" i="5"/>
  <c r="I67" i="5"/>
  <c r="I72" i="5" s="1"/>
  <c r="H23" i="5"/>
  <c r="J23" i="5" s="1"/>
  <c r="I20" i="5"/>
  <c r="I23" i="5" s="1"/>
  <c r="J152" i="4"/>
  <c r="K152" i="4" s="1"/>
  <c r="K141" i="4"/>
  <c r="C81" i="5" l="1"/>
  <c r="C82" i="5"/>
  <c r="D228" i="4"/>
  <c r="D230" i="4"/>
  <c r="I16" i="5"/>
  <c r="D72" i="5"/>
  <c r="J72" i="5"/>
  <c r="C76" i="5"/>
  <c r="J54" i="5"/>
  <c r="H76" i="5"/>
  <c r="J16" i="5"/>
  <c r="K51" i="4"/>
  <c r="J221" i="4"/>
  <c r="I46" i="5"/>
  <c r="J76" i="5" l="1"/>
  <c r="H83" i="5"/>
  <c r="K221" i="4"/>
  <c r="H81" i="5"/>
  <c r="H82" i="5"/>
  <c r="H77" i="5"/>
  <c r="I76" i="5"/>
  <c r="C83" i="5"/>
  <c r="C77" i="5"/>
</calcChain>
</file>

<file path=xl/sharedStrings.xml><?xml version="1.0" encoding="utf-8"?>
<sst xmlns="http://schemas.openxmlformats.org/spreadsheetml/2006/main" count="475" uniqueCount="170">
  <si>
    <t>National Fuel Gas Distribution Corporation</t>
  </si>
  <si>
    <t>Pennsylvania Division</t>
  </si>
  <si>
    <t>Actual Mcf Throughput Volumes</t>
  </si>
  <si>
    <t>by Rate Class</t>
  </si>
  <si>
    <t>Annual Summary</t>
  </si>
  <si>
    <t>Twelve Months Ended</t>
  </si>
  <si>
    <t>Sept. 97</t>
  </si>
  <si>
    <t>Sept. 98</t>
  </si>
  <si>
    <t>MMT/DMT TRANSPORTATION</t>
  </si>
  <si>
    <t>TOTAL MMT/DMT TRANSPORTATION</t>
  </si>
  <si>
    <t>SMALL VOLUME TRANSPORTATION - SATC</t>
  </si>
  <si>
    <t>TOTAL SMALL VOLUME</t>
  </si>
  <si>
    <t>TRANSPORTATION - SATC</t>
  </si>
  <si>
    <t>RETAIL SALES</t>
  </si>
  <si>
    <t>Total</t>
  </si>
  <si>
    <t>Residential</t>
  </si>
  <si>
    <t>LIRA</t>
  </si>
  <si>
    <t>LIRA-1</t>
  </si>
  <si>
    <t>LIRA-2</t>
  </si>
  <si>
    <t>LIRA-3</t>
  </si>
  <si>
    <t>Sm. Comm/PA LL</t>
  </si>
  <si>
    <t>Sm. Comm/PA UL</t>
  </si>
  <si>
    <t>Large Comm/PA</t>
  </si>
  <si>
    <t>Large Comm/PA - Load Balancing</t>
  </si>
  <si>
    <t>SVIS</t>
  </si>
  <si>
    <t>IVIS</t>
  </si>
  <si>
    <t>IVIS - Load Balancing</t>
  </si>
  <si>
    <t>LVIS</t>
  </si>
  <si>
    <t>LVIS - Load Balancing</t>
  </si>
  <si>
    <t>LIS</t>
  </si>
  <si>
    <t>LIS - Load Balancing</t>
  </si>
  <si>
    <t>TOTAL RETAIL SALES</t>
  </si>
  <si>
    <t>Sm. Comm./PA  LL- Intra</t>
  </si>
  <si>
    <t>Sm. Comm./PA LL - Inter</t>
  </si>
  <si>
    <t>Sm. Comm./PA  UL- Intra</t>
  </si>
  <si>
    <t>Sm. Comm./PA UL - Inter</t>
  </si>
  <si>
    <t>Large Comm./PA - Intra</t>
  </si>
  <si>
    <t>Large Comm./PA - Inter</t>
  </si>
  <si>
    <t>Large Comm./PA - Load Balancing</t>
  </si>
  <si>
    <t>SVIS (&lt;1,000 Mcf)</t>
  </si>
  <si>
    <t>IVIS (1,000-50,000 Mcf) Intra &amp; Flex</t>
  </si>
  <si>
    <t>IVIS (1,000-50,000 Mcf) Inter</t>
  </si>
  <si>
    <t>LVIS (50,000-200,000 Mcf) MMT- Intra &amp; Flex</t>
  </si>
  <si>
    <t>LVIS (50,000-200,000 Mcf) MMT -Inter</t>
  </si>
  <si>
    <t>LVIS (50,000-200,000 Mcf) DMT - Intra &amp; Flex</t>
  </si>
  <si>
    <t>LVIS (50,000-200,000 Mcf) DMT - Inter</t>
  </si>
  <si>
    <t>LIS (200,000 + Mcf) MMT - Intra &amp; Flex</t>
  </si>
  <si>
    <t>LIS (200,000 + Mcf) MMT - Inter</t>
  </si>
  <si>
    <t>LIS (200,000 + Mcf) DMT - Intra &amp; Flex</t>
  </si>
  <si>
    <t>LIS (200,000 + Mcf) DMT - Inter</t>
  </si>
  <si>
    <t xml:space="preserve">TOTAL MMT/DMT TRANSPORTATION </t>
  </si>
  <si>
    <t>Sm Com 0-250 Mcf</t>
  </si>
  <si>
    <t>Sm Com 250-1000 Mcf</t>
  </si>
  <si>
    <t>Sm Pub 0-250 Mcf</t>
  </si>
  <si>
    <t>Sm Pub 250-1000 Mcf</t>
  </si>
  <si>
    <t>Large Com (&gt;1,000 Mcf)</t>
  </si>
  <si>
    <t>Large Pub (&gt;1,000 Mcf)</t>
  </si>
  <si>
    <t>Sm. Comm./PA LL</t>
  </si>
  <si>
    <t>Sm. Comm./PA UL</t>
  </si>
  <si>
    <t>Large Comm./PA</t>
  </si>
  <si>
    <t>IVIS (1,000-50,000 Mcf)</t>
  </si>
  <si>
    <t>LVIS (50,000-200,000 Mcf)</t>
  </si>
  <si>
    <t>LIS (200,000 + Mcf)</t>
  </si>
  <si>
    <t>TOTAL THROUGHPUT</t>
  </si>
  <si>
    <t>SVIS (&lt;1,000 Mcf) - Intra</t>
  </si>
  <si>
    <t>Exhibit No. 3-A-1</t>
  </si>
  <si>
    <t>NATIONAL FUEL GAS DISTRIBUTION CORPORATION</t>
  </si>
  <si>
    <t>PENNSYLVANIA DIVISION</t>
  </si>
  <si>
    <t>APPLICATION OF RATES TO BILL FREQUENCY</t>
  </si>
  <si>
    <t>TWELVE MONTHS ENDED SEPTEMBER 1998</t>
  </si>
  <si>
    <t>($000)</t>
  </si>
  <si>
    <t>Revenues at Rates Effective August 1, 1999</t>
  </si>
  <si>
    <t>Revenues at Proposed Rates</t>
  </si>
  <si>
    <t>Actual MMcf</t>
  </si>
  <si>
    <t>Rate *</t>
  </si>
  <si>
    <t>Amount</t>
  </si>
  <si>
    <t>Proposed Rate Schedule</t>
  </si>
  <si>
    <t>Change</t>
  </si>
  <si>
    <t>(2)</t>
  </si>
  <si>
    <t>(6)</t>
  </si>
  <si>
    <t>(7)</t>
  </si>
  <si>
    <t>(8)</t>
  </si>
  <si>
    <t>RESIDENTIAL</t>
  </si>
  <si>
    <t xml:space="preserve"> Bills</t>
  </si>
  <si>
    <t xml:space="preserve"> First 5 Mcf</t>
  </si>
  <si>
    <t xml:space="preserve"> Over 5 Mcf</t>
  </si>
  <si>
    <t xml:space="preserve">  Total</t>
  </si>
  <si>
    <t xml:space="preserve">  Revenue Adjustment</t>
  </si>
  <si>
    <t xml:space="preserve">  Sub-Total</t>
  </si>
  <si>
    <t xml:space="preserve">  Transportation Bills  </t>
  </si>
  <si>
    <t xml:space="preserve">     Transportation-Intra</t>
  </si>
  <si>
    <t xml:space="preserve">     Transportation-Inter</t>
  </si>
  <si>
    <t xml:space="preserve">  Total Transportation</t>
  </si>
  <si>
    <t>LOW INCOME RESIDENTIAL (LIRA 1)</t>
  </si>
  <si>
    <t xml:space="preserve"> All Consumption</t>
  </si>
  <si>
    <t>LOW INCOME RESIDENTIAL (LIRA 2)</t>
  </si>
  <si>
    <t>LOW INCOME RESIDENTIAL (LIRA 3)</t>
  </si>
  <si>
    <t>TOTAL RESIDENTIAL</t>
  </si>
  <si>
    <t>SMALL COMMERCIAL &amp; PUBLIC AUTHORITY &lt; 250 MCF</t>
  </si>
  <si>
    <t xml:space="preserve"> First  5 Mcf</t>
  </si>
  <si>
    <t>SMALL COMMERCIAL &amp; PUBLIC AUTHORITY &gt; 250 MCF</t>
  </si>
  <si>
    <t xml:space="preserve"> First  20 Mcf</t>
  </si>
  <si>
    <t xml:space="preserve"> Over  20 Mcf</t>
  </si>
  <si>
    <t>LARGE COMMERCIAL &amp; PUBLIC AUTHORITY</t>
  </si>
  <si>
    <t xml:space="preserve"> First    300 Mcf</t>
  </si>
  <si>
    <t xml:space="preserve"> Next  1,700 Mcf</t>
  </si>
  <si>
    <t xml:space="preserve"> Over  2,000 Mcf</t>
  </si>
  <si>
    <t xml:space="preserve">  Total Sales Before LBS</t>
  </si>
  <si>
    <t xml:space="preserve">  Load Balancing Sales Service</t>
  </si>
  <si>
    <t xml:space="preserve">       Demand (BDU)</t>
  </si>
  <si>
    <t xml:space="preserve">       Commodity</t>
  </si>
  <si>
    <t xml:space="preserve">  Total LBS</t>
  </si>
  <si>
    <t xml:space="preserve">  Total Sales with LBS</t>
  </si>
  <si>
    <t xml:space="preserve">     Transportation-LBS   </t>
  </si>
  <si>
    <t xml:space="preserve">          Demand (BDU)</t>
  </si>
  <si>
    <t xml:space="preserve">          Commodity</t>
  </si>
  <si>
    <t xml:space="preserve">      Total Trans. LBS</t>
  </si>
  <si>
    <t xml:space="preserve">  Total Trans. with LBS</t>
  </si>
  <si>
    <t>SMALL VIS</t>
  </si>
  <si>
    <t xml:space="preserve"> Sub-Total</t>
  </si>
  <si>
    <t>INTERMEDIATE VIS</t>
  </si>
  <si>
    <t xml:space="preserve"> First    100 Mcf</t>
  </si>
  <si>
    <t xml:space="preserve"> Next  1,900 Mcf</t>
  </si>
  <si>
    <t xml:space="preserve">  Transportation Bills</t>
  </si>
  <si>
    <t xml:space="preserve">     Transportation-Intra &amp; Flex  \1a</t>
  </si>
  <si>
    <t xml:space="preserve">     Transportation-Intra &amp; Flex  \2a</t>
  </si>
  <si>
    <t>\1a Weighted avg. MMT rate of volumes at IVIS ceiling rate of $1.2043 and IVIS Flex rates.</t>
  </si>
  <si>
    <t>\2a Weighted avg. MMT rate of volumes at IVIS ceiling rate of $1.2043 and IVIS Flex rates.</t>
  </si>
  <si>
    <t xml:space="preserve"> First     100 Mcf</t>
  </si>
  <si>
    <t xml:space="preserve"> Next   1,900 Mcf</t>
  </si>
  <si>
    <t xml:space="preserve"> Next 18,000 Mcf</t>
  </si>
  <si>
    <t xml:space="preserve"> Over 20,000 Mcf</t>
  </si>
  <si>
    <t xml:space="preserve">  Total Sales before LBS</t>
  </si>
  <si>
    <t xml:space="preserve">     Trans. - Intra &amp; Flex MMT  \1b</t>
  </si>
  <si>
    <t xml:space="preserve">     Trans. - Intra &amp; Flex MMT  \2b</t>
  </si>
  <si>
    <t xml:space="preserve">     Trans. - Inter MMT</t>
  </si>
  <si>
    <t xml:space="preserve">     Trans. - Intra &amp; Flex DMT  \1c</t>
  </si>
  <si>
    <t xml:space="preserve">     Trans. - Intra &amp; Flex DMT  \2c</t>
  </si>
  <si>
    <t xml:space="preserve">     Trans. - Inter DMT</t>
  </si>
  <si>
    <t>\1b Weighted avg. MMT rate of volumes at LVIS ceiling rate of $1.0116 and LVIS Flex rates.</t>
  </si>
  <si>
    <t>\2b Weighted avg. MMT rate of volumes at LVIS ceiling rate of $1.0116 and LVIS Flex rates.</t>
  </si>
  <si>
    <t>\1c Weighted avg. DMT rate of volumes at LVIS ceiling rate of $0.7986 and LVIS Flex rates.</t>
  </si>
  <si>
    <t>\2c Weighted avg. DMT rate of volumes at LVIS ceiling rate of $0.7986 and LVIS Flex rates.</t>
  </si>
  <si>
    <t xml:space="preserve">     Trans. - Intra &amp; Flex MMT    \1d</t>
  </si>
  <si>
    <t xml:space="preserve">     Trans. - Intra &amp; Flex MMT    \2d</t>
  </si>
  <si>
    <t xml:space="preserve">     Trans. - Intra &amp; Flex DMT    \1e</t>
  </si>
  <si>
    <t xml:space="preserve">     Trans. - Intra &amp; Flex DMT    \2e</t>
  </si>
  <si>
    <t>TOTAL PENNSYLVANIA</t>
  </si>
  <si>
    <t>DIVISION</t>
  </si>
  <si>
    <t>\1d Weighted avg. MMT rate of volumes at LIS ceiling rate of $0.6715 and LIS Flex rates.</t>
  </si>
  <si>
    <t>\2d Weighted avg. MMT rate of volumes at LIS ceiling rate of $0.6715 and LIS Flex rates.</t>
  </si>
  <si>
    <t>\1e Weighted avg. DMT rate of volumes at LIS ceiling rate of $0.4585 and LIS Flex rates.</t>
  </si>
  <si>
    <t>\2e Weighted avg. DMT rate of volumes at LIS ceiling rate of $0.4585 and LIS Flex rates.</t>
  </si>
  <si>
    <t>SUMMARY OF VOLUMES AND REVENUES</t>
  </si>
  <si>
    <t xml:space="preserve">  Sales Service</t>
  </si>
  <si>
    <t xml:space="preserve">  LIRA</t>
  </si>
  <si>
    <t xml:space="preserve">  SATC Service</t>
  </si>
  <si>
    <t xml:space="preserve">  Transportation (MMT)</t>
  </si>
  <si>
    <t xml:space="preserve">  Total Residential</t>
  </si>
  <si>
    <t xml:space="preserve">  Total Small Com/Pub. Auth &lt; 250 Mcf</t>
  </si>
  <si>
    <t xml:space="preserve">  Total Small Com/Pub. Auth &gt; 250 Mcf</t>
  </si>
  <si>
    <t xml:space="preserve">  Load Balancing - Sales</t>
  </si>
  <si>
    <t xml:space="preserve">  Load Balancing - Transportation</t>
  </si>
  <si>
    <t xml:space="preserve">  Total Large Commercial &amp; Public Auth.</t>
  </si>
  <si>
    <t xml:space="preserve">  Total SVIS</t>
  </si>
  <si>
    <t xml:space="preserve">  Total IVIS</t>
  </si>
  <si>
    <t xml:space="preserve">  Transportation (DMT)</t>
  </si>
  <si>
    <t xml:space="preserve">  Total LVIS</t>
  </si>
  <si>
    <t xml:space="preserve">  Total LIS</t>
  </si>
  <si>
    <t>SATC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</si>
</sst>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165" formatCode=";;;"/>
    <numFmt numFmtId="166" formatCode="&quot;$&quot;#,##0.0000_);\(&quot;$&quot;#,##0.0000\)"/>
    <numFmt numFmtId="172" formatCode="General_)"/>
    <numFmt numFmtId="173" formatCode="#,##0.0_);\(#,##0.0\)"/>
    <numFmt numFmtId="186" formatCode="mmm\ yy"/>
  </numFmts>
  <fonts count="9" x14ac:knownFonts="1">
    <font>
      <sz val="12"/>
      <name val="Helv"/>
    </font>
    <font>
      <sz val="12"/>
      <color indexed="12"/>
      <name val="Helv"/>
    </font>
    <font>
      <b/>
      <sz val="12"/>
      <name val="Helv"/>
    </font>
    <font>
      <u/>
      <sz val="12"/>
      <name val="Helv"/>
    </font>
    <font>
      <sz val="12"/>
      <color indexed="8"/>
      <name val="Helv"/>
    </font>
    <font>
      <u/>
      <sz val="12"/>
      <color indexed="12"/>
      <name val="Helv"/>
    </font>
    <font>
      <sz val="12"/>
      <name val="Helv"/>
    </font>
    <font>
      <b/>
      <sz val="14"/>
      <name val="Helv"/>
    </font>
    <font>
      <sz val="12"/>
      <color indexed="14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37" fontId="0" fillId="0" borderId="0"/>
  </cellStyleXfs>
  <cellXfs count="51">
    <xf numFmtId="37" fontId="0" fillId="0" borderId="0" xfId="0"/>
    <xf numFmtId="37" fontId="0" fillId="0" borderId="0" xfId="0" applyAlignment="1">
      <alignment horizontal="left"/>
    </xf>
    <xf numFmtId="37" fontId="0" fillId="0" borderId="0" xfId="0" applyAlignment="1">
      <alignment horizontal="right"/>
    </xf>
    <xf numFmtId="5" fontId="0" fillId="0" borderId="0" xfId="0" applyNumberFormat="1" applyProtection="1"/>
    <xf numFmtId="37" fontId="2" fillId="0" borderId="0" xfId="0" applyFont="1" applyAlignment="1">
      <alignment horizontal="left"/>
    </xf>
    <xf numFmtId="7" fontId="1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7" fontId="0" fillId="0" borderId="0" xfId="0" applyNumberFormat="1" applyProtection="1"/>
    <xf numFmtId="166" fontId="0" fillId="0" borderId="0" xfId="0" applyNumberFormat="1" applyProtection="1"/>
    <xf numFmtId="37" fontId="0" fillId="0" borderId="0" xfId="0" applyAlignment="1">
      <alignment horizontal="centerContinuous"/>
    </xf>
    <xf numFmtId="37" fontId="1" fillId="0" borderId="0" xfId="0" applyFont="1" applyAlignment="1" applyProtection="1">
      <alignment horizontal="centerContinuous"/>
      <protection locked="0"/>
    </xf>
    <xf numFmtId="37" fontId="0" fillId="0" borderId="0" xfId="0" applyAlignment="1">
      <alignment horizontal="center"/>
    </xf>
    <xf numFmtId="37" fontId="0" fillId="0" borderId="1" xfId="0" applyBorder="1"/>
    <xf numFmtId="5" fontId="0" fillId="0" borderId="1" xfId="0" applyNumberFormat="1" applyBorder="1" applyProtection="1"/>
    <xf numFmtId="37" fontId="3" fillId="0" borderId="0" xfId="0" applyFont="1" applyAlignment="1">
      <alignment horizontal="center"/>
    </xf>
    <xf numFmtId="37" fontId="3" fillId="0" borderId="0" xfId="0" applyFont="1"/>
    <xf numFmtId="37" fontId="4" fillId="0" borderId="0" xfId="0" applyFont="1" applyProtection="1">
      <protection locked="0"/>
    </xf>
    <xf numFmtId="166" fontId="4" fillId="0" borderId="0" xfId="0" applyNumberFormat="1" applyFont="1" applyProtection="1">
      <protection locked="0"/>
    </xf>
    <xf numFmtId="37" fontId="0" fillId="0" borderId="0" xfId="0" applyBorder="1"/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5" fontId="0" fillId="0" borderId="0" xfId="0" applyNumberFormat="1" applyBorder="1" applyProtection="1"/>
    <xf numFmtId="37" fontId="0" fillId="0" borderId="0" xfId="0" applyAlignment="1"/>
    <xf numFmtId="37" fontId="0" fillId="0" borderId="0" xfId="0" applyBorder="1" applyAlignment="1">
      <alignment horizontal="right"/>
    </xf>
    <xf numFmtId="37" fontId="3" fillId="0" borderId="0" xfId="0" applyFont="1" applyAlignment="1"/>
    <xf numFmtId="37" fontId="2" fillId="0" borderId="0" xfId="0" applyFont="1" applyBorder="1" applyAlignment="1">
      <alignment horizontal="right"/>
    </xf>
    <xf numFmtId="37" fontId="5" fillId="0" borderId="0" xfId="0" applyFont="1" applyAlignment="1">
      <alignment horizontal="center"/>
    </xf>
    <xf numFmtId="37" fontId="0" fillId="0" borderId="0" xfId="0" quotePrefix="1"/>
    <xf numFmtId="37" fontId="7" fillId="0" borderId="0" xfId="0" applyFont="1" applyAlignment="1">
      <alignment horizontal="centerContinuous"/>
    </xf>
    <xf numFmtId="37" fontId="6" fillId="0" borderId="0" xfId="0" applyFont="1" applyAlignment="1">
      <alignment horizontal="left"/>
    </xf>
    <xf numFmtId="165" fontId="0" fillId="0" borderId="0" xfId="0" applyNumberFormat="1"/>
    <xf numFmtId="37" fontId="2" fillId="0" borderId="0" xfId="0" applyFont="1"/>
    <xf numFmtId="37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17" fontId="0" fillId="0" borderId="0" xfId="0" applyNumberFormat="1" applyFont="1" applyAlignment="1">
      <alignment horizontal="center"/>
    </xf>
    <xf numFmtId="37" fontId="1" fillId="0" borderId="0" xfId="0" applyFont="1"/>
    <xf numFmtId="186" fontId="2" fillId="0" borderId="0" xfId="0" applyNumberFormat="1" applyFont="1" applyAlignment="1">
      <alignment horizontal="center"/>
    </xf>
    <xf numFmtId="172" fontId="0" fillId="0" borderId="0" xfId="0" applyNumberFormat="1" applyAlignment="1" applyProtection="1">
      <alignment horizontal="left"/>
    </xf>
    <xf numFmtId="172" fontId="0" fillId="0" borderId="0" xfId="0" quotePrefix="1" applyNumberFormat="1" applyAlignment="1" applyProtection="1">
      <alignment horizontal="right"/>
    </xf>
    <xf numFmtId="173" fontId="0" fillId="0" borderId="0" xfId="0" applyNumberFormat="1" applyAlignment="1">
      <alignment horizontal="right"/>
    </xf>
    <xf numFmtId="172" fontId="0" fillId="0" borderId="0" xfId="0" applyNumberFormat="1" applyAlignment="1" applyProtection="1">
      <alignment horizontal="right"/>
    </xf>
    <xf numFmtId="37" fontId="1" fillId="0" borderId="0" xfId="0" applyNumberFormat="1" applyFont="1" applyProtection="1"/>
    <xf numFmtId="37" fontId="0" fillId="0" borderId="0" xfId="0" applyNumberFormat="1" applyProtection="1"/>
    <xf numFmtId="37" fontId="0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Font="1"/>
    <xf numFmtId="173" fontId="0" fillId="0" borderId="0" xfId="0" applyNumberFormat="1" applyProtection="1"/>
    <xf numFmtId="173" fontId="0" fillId="0" borderId="0" xfId="0" applyNumberFormat="1"/>
    <xf numFmtId="37" fontId="0" fillId="0" borderId="0" xfId="0" applyNumberFormat="1"/>
    <xf numFmtId="37" fontId="8" fillId="0" borderId="0" xfId="0" applyFont="1"/>
    <xf numFmtId="37" fontId="4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76"/>
  <sheetViews>
    <sheetView tabSelected="1" topLeftCell="A53" zoomScale="75" workbookViewId="0">
      <selection activeCell="B84" sqref="B84"/>
    </sheetView>
  </sheetViews>
  <sheetFormatPr defaultColWidth="9.81640625" defaultRowHeight="15.6" x14ac:dyDescent="0.3"/>
  <cols>
    <col min="1" max="1" width="20.453125" customWidth="1"/>
    <col min="2" max="2" width="18.36328125" customWidth="1"/>
    <col min="3" max="4" width="20.6328125" customWidth="1"/>
    <col min="5" max="5" width="19.1796875" customWidth="1"/>
    <col min="6" max="6" width="18.54296875" customWidth="1"/>
  </cols>
  <sheetData>
    <row r="1" spans="1:175" x14ac:dyDescent="0.3">
      <c r="A1" s="9" t="s">
        <v>0</v>
      </c>
      <c r="B1" s="9"/>
      <c r="C1" s="9"/>
      <c r="D1" s="9"/>
    </row>
    <row r="2" spans="1:175" x14ac:dyDescent="0.3">
      <c r="A2" s="9" t="s">
        <v>1</v>
      </c>
      <c r="B2" s="9"/>
      <c r="C2" s="9"/>
      <c r="D2" s="9"/>
    </row>
    <row r="3" spans="1:175" x14ac:dyDescent="0.3">
      <c r="A3" s="9" t="s">
        <v>2</v>
      </c>
      <c r="B3" s="9"/>
      <c r="C3" s="9"/>
      <c r="D3" s="9"/>
    </row>
    <row r="4" spans="1:175" x14ac:dyDescent="0.3">
      <c r="A4" s="9" t="s">
        <v>3</v>
      </c>
      <c r="B4" s="9"/>
      <c r="C4" s="9"/>
      <c r="D4" s="9"/>
    </row>
    <row r="5" spans="1:175" x14ac:dyDescent="0.3">
      <c r="A5" s="9" t="s">
        <v>4</v>
      </c>
      <c r="B5" s="9"/>
      <c r="C5" s="9"/>
      <c r="D5" s="9"/>
    </row>
    <row r="8" spans="1:175" x14ac:dyDescent="0.3">
      <c r="A8" s="31"/>
      <c r="C8" s="32" t="s">
        <v>5</v>
      </c>
      <c r="D8" s="32" t="s">
        <v>5</v>
      </c>
    </row>
    <row r="9" spans="1:175" x14ac:dyDescent="0.3">
      <c r="C9" s="33" t="s">
        <v>6</v>
      </c>
      <c r="D9" s="33" t="s">
        <v>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</row>
    <row r="10" spans="1:175" x14ac:dyDescent="0.3">
      <c r="C10" s="34"/>
      <c r="D10" s="34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</row>
    <row r="11" spans="1:175" x14ac:dyDescent="0.3">
      <c r="A11" s="31" t="str">
        <f>'Revrun Sales 97'!A10</f>
        <v>RETAIL SALES</v>
      </c>
      <c r="C11" s="34"/>
      <c r="D11" s="34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</row>
    <row r="12" spans="1:175" x14ac:dyDescent="0.3">
      <c r="C12" s="33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</row>
    <row r="13" spans="1:175" x14ac:dyDescent="0.3">
      <c r="A13" t="str">
        <f>'Revrun Sales 97'!A12</f>
        <v>Residential</v>
      </c>
      <c r="C13">
        <f>'Revrun Sales 97'!O12</f>
        <v>25261658</v>
      </c>
      <c r="D13">
        <f>'Revrun Sales 98'!O12</f>
        <v>19585391</v>
      </c>
    </row>
    <row r="14" spans="1:175" x14ac:dyDescent="0.3">
      <c r="A14" t="str">
        <f>'Revrun Sales 97'!A13</f>
        <v>LIRA</v>
      </c>
      <c r="C14">
        <f>'Revrun Sales 97'!O13</f>
        <v>162106</v>
      </c>
      <c r="D14">
        <f>'Revrun Sales 98'!O13</f>
        <v>189</v>
      </c>
    </row>
    <row r="15" spans="1:175" x14ac:dyDescent="0.3">
      <c r="A15" t="str">
        <f>'Revrun Sales 97'!A14</f>
        <v>LIRA-1</v>
      </c>
      <c r="C15">
        <f>'Revrun Sales 97'!O14</f>
        <v>1586</v>
      </c>
      <c r="D15">
        <f>'Revrun Sales 98'!O14</f>
        <v>53642</v>
      </c>
    </row>
    <row r="16" spans="1:175" x14ac:dyDescent="0.3">
      <c r="A16" t="str">
        <f>'Revrun Sales 97'!A15</f>
        <v>LIRA-2</v>
      </c>
      <c r="C16">
        <f>'Revrun Sales 97'!O15</f>
        <v>4268</v>
      </c>
      <c r="D16">
        <f>'Revrun Sales 98'!O15</f>
        <v>145430</v>
      </c>
    </row>
    <row r="17" spans="1:4" x14ac:dyDescent="0.3">
      <c r="A17" t="str">
        <f>'Revrun Sales 97'!A16</f>
        <v>LIRA-3</v>
      </c>
      <c r="C17">
        <f>'Revrun Sales 97'!O16</f>
        <v>1688</v>
      </c>
      <c r="D17">
        <f>'Revrun Sales 98'!O16</f>
        <v>58230</v>
      </c>
    </row>
    <row r="18" spans="1:4" x14ac:dyDescent="0.3">
      <c r="A18" t="str">
        <f>'Revrun Sales 97'!A17</f>
        <v>Sm. Comm/PA LL</v>
      </c>
      <c r="C18">
        <f>'Revrun Sales 97'!O17</f>
        <v>1298058</v>
      </c>
      <c r="D18">
        <f>'Revrun Sales 98'!O17</f>
        <v>848355</v>
      </c>
    </row>
    <row r="19" spans="1:4" x14ac:dyDescent="0.3">
      <c r="A19" t="str">
        <f>'Revrun Sales 97'!A18</f>
        <v>Sm. Comm/PA UL</v>
      </c>
      <c r="C19">
        <f>'Revrun Sales 97'!O18</f>
        <v>2125831</v>
      </c>
      <c r="D19">
        <f>'Revrun Sales 98'!O18</f>
        <v>1718970</v>
      </c>
    </row>
    <row r="20" spans="1:4" x14ac:dyDescent="0.3">
      <c r="A20" t="str">
        <f>'Revrun Sales 97'!A19</f>
        <v>Large Comm/PA</v>
      </c>
      <c r="C20">
        <f>'Revrun Sales 97'!O19</f>
        <v>3192619</v>
      </c>
      <c r="D20">
        <f>'Revrun Sales 98'!O19</f>
        <v>2412273</v>
      </c>
    </row>
    <row r="21" spans="1:4" x14ac:dyDescent="0.3">
      <c r="A21" t="str">
        <f>'Revrun Sales 97'!A20</f>
        <v>Large Comm/PA - Load Balancing</v>
      </c>
      <c r="C21">
        <f>'Revrun Sales 97'!O20</f>
        <v>3065</v>
      </c>
      <c r="D21" s="35">
        <v>0</v>
      </c>
    </row>
    <row r="22" spans="1:4" x14ac:dyDescent="0.3">
      <c r="A22" t="str">
        <f>'Revrun Sales 97'!A21</f>
        <v>SVIS</v>
      </c>
      <c r="C22">
        <f>'Revrun Sales 97'!O21</f>
        <v>96095</v>
      </c>
      <c r="D22">
        <f>'Revrun Sales 98'!O20</f>
        <v>54893</v>
      </c>
    </row>
    <row r="23" spans="1:4" x14ac:dyDescent="0.3">
      <c r="A23" t="str">
        <f>'Revrun Sales 97'!A22</f>
        <v>IVIS</v>
      </c>
      <c r="C23">
        <f>'Revrun Sales 97'!O22</f>
        <v>464622</v>
      </c>
      <c r="D23">
        <f>'Revrun Sales 98'!O21</f>
        <v>309854.3</v>
      </c>
    </row>
    <row r="24" spans="1:4" x14ac:dyDescent="0.3">
      <c r="A24" t="str">
        <f>'Revrun Sales 97'!A23</f>
        <v>IVIS - Load Balancing</v>
      </c>
      <c r="C24">
        <f>'Revrun Sales 97'!O23</f>
        <v>48134</v>
      </c>
      <c r="D24">
        <f>'Revrun Sales 98'!O22</f>
        <v>13813.7</v>
      </c>
    </row>
    <row r="25" spans="1:4" x14ac:dyDescent="0.3">
      <c r="A25" t="str">
        <f>'Revrun Sales 97'!A24</f>
        <v>LVIS</v>
      </c>
      <c r="C25">
        <f>'Revrun Sales 97'!O24</f>
        <v>30743</v>
      </c>
      <c r="D25">
        <f>'Revrun Sales 98'!O23</f>
        <v>43461.5</v>
      </c>
    </row>
    <row r="26" spans="1:4" x14ac:dyDescent="0.3">
      <c r="A26" t="str">
        <f>'Revrun Sales 97'!A25</f>
        <v>LVIS - Load Balancing</v>
      </c>
      <c r="C26">
        <f>'Revrun Sales 97'!O25</f>
        <v>80091</v>
      </c>
      <c r="D26">
        <f>'Revrun Sales 98'!O24</f>
        <v>12791.5</v>
      </c>
    </row>
    <row r="27" spans="1:4" x14ac:dyDescent="0.3">
      <c r="A27" t="str">
        <f>'Revrun Sales 97'!A26</f>
        <v>LIS</v>
      </c>
      <c r="C27">
        <f>'Revrun Sales 97'!O26</f>
        <v>18658</v>
      </c>
      <c r="D27">
        <f>'Revrun Sales 98'!O25</f>
        <v>14411</v>
      </c>
    </row>
    <row r="28" spans="1:4" x14ac:dyDescent="0.3">
      <c r="A28" t="str">
        <f>'Revrun Sales 97'!A27</f>
        <v>LIS - Load Balancing</v>
      </c>
      <c r="C28">
        <f>'Revrun Sales 97'!O27</f>
        <v>114810</v>
      </c>
      <c r="D28">
        <f>'Revrun Sales 98'!O26</f>
        <v>147919</v>
      </c>
    </row>
    <row r="30" spans="1:4" x14ac:dyDescent="0.3">
      <c r="A30" s="31" t="str">
        <f>'Revrun Sales 97'!A29</f>
        <v>TOTAL RETAIL SALES</v>
      </c>
      <c r="C30">
        <f>'Revrun Sales 97'!O29</f>
        <v>32904032</v>
      </c>
      <c r="D30">
        <f>'Revrun Sales 98'!O28</f>
        <v>25419624</v>
      </c>
    </row>
    <row r="31" spans="1:4" x14ac:dyDescent="0.3">
      <c r="A31" s="31"/>
    </row>
    <row r="32" spans="1:4" x14ac:dyDescent="0.3">
      <c r="A32" s="31"/>
    </row>
    <row r="33" spans="1:4" x14ac:dyDescent="0.3">
      <c r="A33" s="31" t="s">
        <v>8</v>
      </c>
    </row>
    <row r="35" spans="1:4" x14ac:dyDescent="0.3">
      <c r="A35" t="str">
        <f>'Revrun Sales 97'!A36</f>
        <v>Residential</v>
      </c>
      <c r="C35">
        <f>'Revrun Sales 97'!O36</f>
        <v>11820.7</v>
      </c>
      <c r="D35">
        <f>'Revrun Sales 98'!O35</f>
        <v>20625.000000000004</v>
      </c>
    </row>
    <row r="36" spans="1:4" x14ac:dyDescent="0.3">
      <c r="A36" t="str">
        <f>'Revrun Sales 97'!A37</f>
        <v>Sm. Comm./PA  LL- Intra</v>
      </c>
      <c r="C36">
        <f>'Revrun Sales 97'!O37</f>
        <v>274.3</v>
      </c>
      <c r="D36">
        <f>'Revrun Sales 98'!O36</f>
        <v>362.6</v>
      </c>
    </row>
    <row r="37" spans="1:4" x14ac:dyDescent="0.3">
      <c r="A37" t="str">
        <f>'Revrun Sales 97'!A38</f>
        <v>Sm. Comm./PA LL - Inter</v>
      </c>
      <c r="C37">
        <f>'Revrun Sales 97'!O38</f>
        <v>97</v>
      </c>
      <c r="D37">
        <f>'Revrun Sales 98'!O37</f>
        <v>21.1</v>
      </c>
    </row>
    <row r="38" spans="1:4" x14ac:dyDescent="0.3">
      <c r="A38" t="str">
        <f>'Revrun Sales 97'!A39</f>
        <v>Sm. Comm./PA  UL- Intra</v>
      </c>
      <c r="C38">
        <f>'Revrun Sales 97'!O39</f>
        <v>14228.9</v>
      </c>
      <c r="D38">
        <f>'Revrun Sales 98'!O38</f>
        <v>16372.500000000002</v>
      </c>
    </row>
    <row r="39" spans="1:4" x14ac:dyDescent="0.3">
      <c r="A39" t="str">
        <f>'Revrun Sales 97'!A40</f>
        <v>Sm. Comm./PA UL - Inter</v>
      </c>
      <c r="C39">
        <f>'Revrun Sales 97'!O40</f>
        <v>6158.2</v>
      </c>
      <c r="D39">
        <f>'Revrun Sales 98'!O39</f>
        <v>4069.2999999999993</v>
      </c>
    </row>
    <row r="40" spans="1:4" x14ac:dyDescent="0.3">
      <c r="A40" t="str">
        <f>'Revrun Sales 97'!A41</f>
        <v>Large Comm./PA - Intra</v>
      </c>
      <c r="C40">
        <f>'Revrun Sales 97'!O41</f>
        <v>3130192.5</v>
      </c>
      <c r="D40">
        <f>'Revrun Sales 98'!O40</f>
        <v>3232060.5</v>
      </c>
    </row>
    <row r="41" spans="1:4" x14ac:dyDescent="0.3">
      <c r="A41" t="str">
        <f>'Revrun Sales 97'!A42</f>
        <v>Large Comm./PA - Inter</v>
      </c>
      <c r="C41">
        <f>'Revrun Sales 97'!O42</f>
        <v>642717.4</v>
      </c>
      <c r="D41">
        <f>'Revrun Sales 98'!O41</f>
        <v>436536.50000000006</v>
      </c>
    </row>
    <row r="42" spans="1:4" x14ac:dyDescent="0.3">
      <c r="A42" t="str">
        <f>'Revrun Sales 97'!A43</f>
        <v>Large Comm./PA - Load Balancing</v>
      </c>
      <c r="C42">
        <f>'Revrun Sales 97'!O43</f>
        <v>5736.5</v>
      </c>
      <c r="D42">
        <f>'Revrun Sales 98'!O42</f>
        <v>13364.800000000001</v>
      </c>
    </row>
    <row r="43" spans="1:4" x14ac:dyDescent="0.3">
      <c r="A43" t="str">
        <f>'Revrun Sales 97'!A44</f>
        <v>SVIS (&lt;1,000 Mcf)</v>
      </c>
      <c r="C43">
        <f>'Revrun Sales 97'!O44</f>
        <v>12164</v>
      </c>
      <c r="D43">
        <f>'Revrun Sales 98'!O43</f>
        <v>8665.2000000000007</v>
      </c>
    </row>
    <row r="44" spans="1:4" x14ac:dyDescent="0.3">
      <c r="A44" t="str">
        <f>'Revrun Sales 97'!A45</f>
        <v>IVIS (1,000-50,000 Mcf) Intra &amp; Flex</v>
      </c>
      <c r="C44">
        <f>'Revrun Sales 97'!O45</f>
        <v>2685004.1</v>
      </c>
      <c r="D44">
        <f>'Revrun Sales 98'!O44</f>
        <v>2694361.1</v>
      </c>
    </row>
    <row r="45" spans="1:4" x14ac:dyDescent="0.3">
      <c r="A45" t="str">
        <f>'Revrun Sales 97'!A46</f>
        <v>IVIS (1,000-50,000 Mcf) Inter</v>
      </c>
      <c r="C45">
        <f>'Revrun Sales 97'!O46</f>
        <v>433858.2</v>
      </c>
      <c r="D45">
        <f>'Revrun Sales 98'!O45</f>
        <v>257247.8</v>
      </c>
    </row>
    <row r="46" spans="1:4" x14ac:dyDescent="0.3">
      <c r="A46" t="str">
        <f>'Revrun Sales 97'!A47</f>
        <v>IVIS - Load Balancing</v>
      </c>
      <c r="C46">
        <f>'Revrun Sales 97'!O47</f>
        <v>130067.5</v>
      </c>
      <c r="D46">
        <f>'Revrun Sales 98'!O46</f>
        <v>169612.7</v>
      </c>
    </row>
    <row r="47" spans="1:4" x14ac:dyDescent="0.3">
      <c r="A47" t="str">
        <f>'Revrun Sales 97'!A48</f>
        <v>LVIS (50,000-200,000 Mcf) MMT- Intra &amp; Flex</v>
      </c>
      <c r="C47">
        <f>'Revrun Sales 97'!O48</f>
        <v>3545502</v>
      </c>
      <c r="D47">
        <f>'Revrun Sales 98'!O47</f>
        <v>3278862.3999999994</v>
      </c>
    </row>
    <row r="48" spans="1:4" x14ac:dyDescent="0.3">
      <c r="A48" t="str">
        <f>'Revrun Sales 97'!A49</f>
        <v>LVIS (50,000-200,000 Mcf) MMT -Inter</v>
      </c>
      <c r="C48">
        <f>'Revrun Sales 97'!O49</f>
        <v>254962</v>
      </c>
      <c r="D48">
        <f>'Revrun Sales 98'!O48</f>
        <v>169919.49999999997</v>
      </c>
    </row>
    <row r="49" spans="1:4" x14ac:dyDescent="0.3">
      <c r="A49" t="str">
        <f>'Revrun Sales 97'!A50</f>
        <v>LVIS (50,000-200,000 Mcf) DMT - Intra &amp; Flex</v>
      </c>
      <c r="C49">
        <f>'Revrun Sales 97'!O50</f>
        <v>431646.8</v>
      </c>
      <c r="D49">
        <f>'Revrun Sales 98'!O49</f>
        <v>713641.60000000009</v>
      </c>
    </row>
    <row r="50" spans="1:4" x14ac:dyDescent="0.3">
      <c r="A50" t="str">
        <f>'Revrun Sales 97'!A51</f>
        <v>LVIS (50,000-200,000 Mcf) DMT - Inter</v>
      </c>
      <c r="C50">
        <f>'Revrun Sales 97'!O51</f>
        <v>76051.899999999994</v>
      </c>
      <c r="D50">
        <f>'Revrun Sales 98'!O50</f>
        <v>51693.4</v>
      </c>
    </row>
    <row r="51" spans="1:4" x14ac:dyDescent="0.3">
      <c r="A51" t="str">
        <f>'Revrun Sales 97'!A52</f>
        <v>LVIS - Load Balancing</v>
      </c>
      <c r="C51">
        <f>'Revrun Sales 97'!O52</f>
        <v>20025</v>
      </c>
      <c r="D51">
        <f>'Revrun Sales 98'!O51</f>
        <v>40101.699999999997</v>
      </c>
    </row>
    <row r="52" spans="1:4" x14ac:dyDescent="0.3">
      <c r="A52" t="str">
        <f>'Revrun Sales 97'!A53</f>
        <v>LIS (200,000 + Mcf) MMT - Intra &amp; Flex</v>
      </c>
      <c r="C52">
        <f>'Revrun Sales 97'!O53</f>
        <v>836821.5</v>
      </c>
      <c r="D52">
        <f>'Revrun Sales 98'!O52</f>
        <v>786030.7</v>
      </c>
    </row>
    <row r="53" spans="1:4" x14ac:dyDescent="0.3">
      <c r="A53" t="str">
        <f>'Revrun Sales 97'!A54</f>
        <v>LIS (200,000 + Mcf) MMT - Inter</v>
      </c>
      <c r="C53">
        <f>'Revrun Sales 97'!O54</f>
        <v>63087</v>
      </c>
      <c r="D53">
        <f>'Revrun Sales 98'!O53</f>
        <v>59651.500000000007</v>
      </c>
    </row>
    <row r="54" spans="1:4" x14ac:dyDescent="0.3">
      <c r="A54" t="str">
        <f>'Revrun Sales 97'!A55</f>
        <v>LIS (200,000 + Mcf) DMT - Intra &amp; Flex</v>
      </c>
      <c r="C54">
        <f>'Revrun Sales 97'!O55</f>
        <v>8404345.4000000004</v>
      </c>
      <c r="D54">
        <f>'Revrun Sales 98'!O54</f>
        <v>7044296.4000000004</v>
      </c>
    </row>
    <row r="55" spans="1:4" x14ac:dyDescent="0.3">
      <c r="A55" t="str">
        <f>'Revrun Sales 97'!A56</f>
        <v>LIS (200,000 + Mcf) DMT - Inter</v>
      </c>
      <c r="C55">
        <f>'Revrun Sales 97'!O56</f>
        <v>0</v>
      </c>
      <c r="D55">
        <f>'Revrun Sales 98'!O55</f>
        <v>0</v>
      </c>
    </row>
    <row r="56" spans="1:4" x14ac:dyDescent="0.3">
      <c r="A56" t="str">
        <f>'Revrun Sales 97'!A57</f>
        <v>LIS - Load Balancing</v>
      </c>
      <c r="C56">
        <f>'Revrun Sales 97'!O57</f>
        <v>11580</v>
      </c>
      <c r="D56">
        <f>'Revrun Sales 98'!O56</f>
        <v>0</v>
      </c>
    </row>
    <row r="58" spans="1:4" x14ac:dyDescent="0.3">
      <c r="A58" s="31" t="s">
        <v>9</v>
      </c>
      <c r="C58">
        <f>'Revrun Sales 97'!O59</f>
        <v>20716340.900000002</v>
      </c>
      <c r="D58">
        <f>'Revrun Sales 98'!O58</f>
        <v>18997496.299999997</v>
      </c>
    </row>
    <row r="61" spans="1:4" x14ac:dyDescent="0.3">
      <c r="A61" s="31" t="s">
        <v>10</v>
      </c>
    </row>
    <row r="63" spans="1:4" x14ac:dyDescent="0.3">
      <c r="A63" t="str">
        <f>'Revrun Sales 97'!A66</f>
        <v>Residential</v>
      </c>
      <c r="C63">
        <f>'Revrun Sales 97'!O66</f>
        <v>0</v>
      </c>
      <c r="D63">
        <f>'Revrun Sales 98'!O65</f>
        <v>1991766.4</v>
      </c>
    </row>
    <row r="64" spans="1:4" x14ac:dyDescent="0.3">
      <c r="A64" t="str">
        <f>'Revrun Sales 97'!A73</f>
        <v>Sm. Comm./PA LL</v>
      </c>
      <c r="C64">
        <f>'Revrun Sales 97'!O73</f>
        <v>0</v>
      </c>
      <c r="D64">
        <f>'Revrun Sales 98'!O66</f>
        <v>84957.799999999988</v>
      </c>
    </row>
    <row r="65" spans="1:4" x14ac:dyDescent="0.3">
      <c r="A65" t="str">
        <f>'Revrun Sales 97'!A74</f>
        <v>Sm. Comm./PA UL</v>
      </c>
      <c r="C65">
        <f>'Revrun Sales 97'!O74</f>
        <v>0</v>
      </c>
      <c r="D65">
        <f>'Revrun Sales 98'!O67</f>
        <v>153763.29999999996</v>
      </c>
    </row>
    <row r="66" spans="1:4" x14ac:dyDescent="0.3">
      <c r="A66" t="str">
        <f>'Revrun Sales 97'!A75</f>
        <v>Large Comm./PA</v>
      </c>
      <c r="C66">
        <f>'Revrun Sales 97'!O75</f>
        <v>0</v>
      </c>
      <c r="D66">
        <f>'Revrun Sales 98'!O68</f>
        <v>223953.7</v>
      </c>
    </row>
    <row r="67" spans="1:4" x14ac:dyDescent="0.3">
      <c r="A67" t="str">
        <f>'Revrun Sales 97'!A76</f>
        <v>SVIS (&lt;1,000 Mcf)</v>
      </c>
      <c r="C67">
        <f>'Revrun Sales 97'!O76</f>
        <v>0</v>
      </c>
      <c r="D67">
        <f>'Revrun Sales 98'!O69</f>
        <v>1020.1000000000001</v>
      </c>
    </row>
    <row r="68" spans="1:4" x14ac:dyDescent="0.3">
      <c r="A68" t="str">
        <f>'Revrun Sales 97'!A77</f>
        <v>IVIS (1,000-50,000 Mcf)</v>
      </c>
      <c r="C68">
        <f>'Revrun Sales 97'!O77</f>
        <v>0</v>
      </c>
      <c r="D68">
        <f>'Revrun Sales 98'!O70</f>
        <v>12196.399999999998</v>
      </c>
    </row>
    <row r="69" spans="1:4" x14ac:dyDescent="0.3">
      <c r="A69" t="str">
        <f>'Revrun Sales 97'!A78</f>
        <v>LVIS (50,000-200,000 Mcf)</v>
      </c>
      <c r="C69">
        <f>'Revrun Sales 97'!O78</f>
        <v>0</v>
      </c>
      <c r="D69">
        <f>'Revrun Sales 98'!O71</f>
        <v>0</v>
      </c>
    </row>
    <row r="70" spans="1:4" x14ac:dyDescent="0.3">
      <c r="A70" t="str">
        <f>'Revrun Sales 97'!A79</f>
        <v>LIS (200,000 + Mcf)</v>
      </c>
      <c r="C70">
        <f>'Revrun Sales 97'!O79</f>
        <v>0</v>
      </c>
      <c r="D70">
        <f>'Revrun Sales 98'!O72</f>
        <v>0</v>
      </c>
    </row>
    <row r="72" spans="1:4" x14ac:dyDescent="0.3">
      <c r="A72" s="31" t="s">
        <v>11</v>
      </c>
    </row>
    <row r="73" spans="1:4" x14ac:dyDescent="0.3">
      <c r="A73" s="31" t="s">
        <v>12</v>
      </c>
      <c r="C73">
        <f>'Revrun Sales 97'!O82</f>
        <v>0</v>
      </c>
      <c r="D73">
        <f>'Revrun Sales 98'!O75</f>
        <v>2467657.7000000002</v>
      </c>
    </row>
    <row r="74" spans="1:4" x14ac:dyDescent="0.3">
      <c r="B74" s="1"/>
    </row>
    <row r="76" spans="1:4" x14ac:dyDescent="0.3">
      <c r="A76" s="31" t="str">
        <f>'Revrun Sales 97'!A85</f>
        <v>TOTAL THROUGHPUT</v>
      </c>
      <c r="C76">
        <f>C30+C58+C73</f>
        <v>53620372.900000006</v>
      </c>
      <c r="D76">
        <f>D30+D58+D73</f>
        <v>46884778</v>
      </c>
    </row>
  </sheetData>
  <printOptions horizontalCentered="1"/>
  <pageMargins left="0.75" right="0.75" top="0.5" bottom="0.5" header="0.5" footer="0.5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59" zoomScale="75" workbookViewId="0">
      <selection activeCell="C59" sqref="C59"/>
    </sheetView>
  </sheetViews>
  <sheetFormatPr defaultRowHeight="15.6" x14ac:dyDescent="0.3"/>
  <cols>
    <col min="1" max="1" width="30.453125" customWidth="1"/>
    <col min="2" max="2" width="10.81640625" customWidth="1"/>
    <col min="3" max="4" width="11.81640625" customWidth="1"/>
    <col min="5" max="5" width="11.6328125" customWidth="1"/>
    <col min="6" max="6" width="12.1796875" customWidth="1"/>
    <col min="7" max="7" width="11.453125" customWidth="1"/>
    <col min="8" max="8" width="11.6328125" customWidth="1"/>
    <col min="9" max="9" width="11.90625" customWidth="1"/>
    <col min="10" max="11" width="11.81640625" customWidth="1"/>
    <col min="12" max="14" width="11.90625" customWidth="1"/>
    <col min="15" max="15" width="13.08984375" customWidth="1"/>
  </cols>
  <sheetData>
    <row r="1" spans="1:1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9" spans="1:15" x14ac:dyDescent="0.3">
      <c r="A9" s="31"/>
      <c r="H9" s="1"/>
    </row>
    <row r="10" spans="1:15" x14ac:dyDescent="0.3">
      <c r="A10" s="31" t="s">
        <v>13</v>
      </c>
      <c r="C10" s="36">
        <f>DATE(1996,10,15)</f>
        <v>35353</v>
      </c>
      <c r="D10" s="36">
        <f t="shared" ref="D10:N10" si="0">C10+30</f>
        <v>35383</v>
      </c>
      <c r="E10" s="36">
        <f t="shared" si="0"/>
        <v>35413</v>
      </c>
      <c r="F10" s="36">
        <f t="shared" si="0"/>
        <v>35443</v>
      </c>
      <c r="G10" s="36">
        <f t="shared" si="0"/>
        <v>35473</v>
      </c>
      <c r="H10" s="36">
        <f t="shared" si="0"/>
        <v>35503</v>
      </c>
      <c r="I10" s="36">
        <f t="shared" si="0"/>
        <v>35533</v>
      </c>
      <c r="J10" s="36">
        <f t="shared" si="0"/>
        <v>35563</v>
      </c>
      <c r="K10" s="36">
        <f t="shared" si="0"/>
        <v>35593</v>
      </c>
      <c r="L10" s="36">
        <f t="shared" si="0"/>
        <v>35623</v>
      </c>
      <c r="M10" s="36">
        <f t="shared" si="0"/>
        <v>35653</v>
      </c>
      <c r="N10" s="36">
        <f t="shared" si="0"/>
        <v>35683</v>
      </c>
      <c r="O10" s="33" t="s">
        <v>14</v>
      </c>
    </row>
    <row r="11" spans="1:15" x14ac:dyDescent="0.3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x14ac:dyDescent="0.3">
      <c r="A12" t="s">
        <v>15</v>
      </c>
      <c r="C12" s="35">
        <f>977156+11</f>
        <v>977167</v>
      </c>
      <c r="D12" s="35">
        <f>1961525+11</f>
        <v>1961536</v>
      </c>
      <c r="E12" s="35">
        <f>3520932+11</f>
        <v>3520943</v>
      </c>
      <c r="F12" s="35">
        <f>4084954+11</f>
        <v>4084965</v>
      </c>
      <c r="G12" s="35">
        <f>4051455+11</f>
        <v>4051466</v>
      </c>
      <c r="H12" s="35">
        <f>3328520+11</f>
        <v>3328531</v>
      </c>
      <c r="I12" s="35">
        <f>2819270+11</f>
        <v>2819281</v>
      </c>
      <c r="J12" s="35">
        <f>1979672+11</f>
        <v>1979683</v>
      </c>
      <c r="K12" s="35">
        <f>1043247+11</f>
        <v>1043258</v>
      </c>
      <c r="L12" s="35">
        <f>476841+11</f>
        <v>476852</v>
      </c>
      <c r="M12" s="35">
        <f>460390+11</f>
        <v>460401</v>
      </c>
      <c r="N12" s="35">
        <f>557563+12</f>
        <v>557575</v>
      </c>
      <c r="O12">
        <f t="shared" ref="O12:O27" si="1">SUM(C12:N12)</f>
        <v>25261658</v>
      </c>
    </row>
    <row r="13" spans="1:15" x14ac:dyDescent="0.3">
      <c r="A13" t="s">
        <v>16</v>
      </c>
      <c r="C13" s="35">
        <v>6647</v>
      </c>
      <c r="D13" s="35">
        <v>13352</v>
      </c>
      <c r="E13" s="35">
        <v>23884</v>
      </c>
      <c r="F13" s="35">
        <v>28012</v>
      </c>
      <c r="G13" s="35">
        <v>26597</v>
      </c>
      <c r="H13" s="35">
        <v>22302</v>
      </c>
      <c r="I13" s="35">
        <v>18493</v>
      </c>
      <c r="J13" s="35">
        <v>12715</v>
      </c>
      <c r="K13" s="35">
        <v>6546</v>
      </c>
      <c r="L13" s="35">
        <v>1935</v>
      </c>
      <c r="M13" s="35">
        <v>1110</v>
      </c>
      <c r="N13" s="35">
        <v>513</v>
      </c>
      <c r="O13">
        <f t="shared" si="1"/>
        <v>162106</v>
      </c>
    </row>
    <row r="14" spans="1:15" x14ac:dyDescent="0.3">
      <c r="A14" t="s">
        <v>17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42</v>
      </c>
      <c r="L14" s="35">
        <v>271</v>
      </c>
      <c r="M14" s="35">
        <v>464</v>
      </c>
      <c r="N14" s="35">
        <v>809</v>
      </c>
      <c r="O14">
        <f t="shared" si="1"/>
        <v>1586</v>
      </c>
    </row>
    <row r="15" spans="1:15" x14ac:dyDescent="0.3">
      <c r="A15" t="s">
        <v>18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55</v>
      </c>
      <c r="K15" s="35">
        <v>148</v>
      </c>
      <c r="L15" s="35">
        <v>803</v>
      </c>
      <c r="M15" s="35">
        <v>1266</v>
      </c>
      <c r="N15" s="35">
        <v>1996</v>
      </c>
      <c r="O15">
        <f t="shared" si="1"/>
        <v>4268</v>
      </c>
    </row>
    <row r="16" spans="1:15" x14ac:dyDescent="0.3">
      <c r="A16" t="s">
        <v>19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44</v>
      </c>
      <c r="K16" s="35">
        <v>63</v>
      </c>
      <c r="L16" s="35">
        <v>298</v>
      </c>
      <c r="M16" s="35">
        <v>510</v>
      </c>
      <c r="N16" s="35">
        <v>773</v>
      </c>
      <c r="O16">
        <f t="shared" si="1"/>
        <v>1688</v>
      </c>
    </row>
    <row r="17" spans="1:15" x14ac:dyDescent="0.3">
      <c r="A17" t="s">
        <v>20</v>
      </c>
      <c r="C17" s="35">
        <v>43227</v>
      </c>
      <c r="D17" s="35">
        <v>95366</v>
      </c>
      <c r="E17" s="35">
        <v>203951</v>
      </c>
      <c r="F17" s="35">
        <v>253750</v>
      </c>
      <c r="G17" s="35">
        <v>263190</v>
      </c>
      <c r="H17" s="35">
        <v>161998</v>
      </c>
      <c r="I17" s="35">
        <v>125524</v>
      </c>
      <c r="J17" s="35">
        <v>78376</v>
      </c>
      <c r="K17" s="35">
        <v>32980</v>
      </c>
      <c r="L17" s="35">
        <v>13689</v>
      </c>
      <c r="M17" s="35">
        <v>9443</v>
      </c>
      <c r="N17" s="35">
        <v>16564</v>
      </c>
      <c r="O17">
        <f t="shared" si="1"/>
        <v>1298058</v>
      </c>
    </row>
    <row r="18" spans="1:15" x14ac:dyDescent="0.3">
      <c r="A18" t="s">
        <v>21</v>
      </c>
      <c r="C18" s="35">
        <v>73351</v>
      </c>
      <c r="D18" s="35">
        <v>144819</v>
      </c>
      <c r="E18" s="35">
        <v>290746</v>
      </c>
      <c r="F18" s="35">
        <v>350215</v>
      </c>
      <c r="G18" s="35">
        <v>352094</v>
      </c>
      <c r="H18" s="35">
        <v>309816</v>
      </c>
      <c r="I18" s="35">
        <v>244403</v>
      </c>
      <c r="J18" s="35">
        <v>161009</v>
      </c>
      <c r="K18" s="35">
        <v>77741</v>
      </c>
      <c r="L18" s="35">
        <v>38128</v>
      </c>
      <c r="M18" s="35">
        <v>39145</v>
      </c>
      <c r="N18" s="35">
        <v>44364</v>
      </c>
      <c r="O18">
        <f t="shared" si="1"/>
        <v>2125831</v>
      </c>
    </row>
    <row r="19" spans="1:15" x14ac:dyDescent="0.3">
      <c r="A19" t="s">
        <v>22</v>
      </c>
      <c r="C19" s="35">
        <v>135467</v>
      </c>
      <c r="D19" s="35">
        <v>257120</v>
      </c>
      <c r="E19" s="35">
        <v>450518</v>
      </c>
      <c r="F19" s="35">
        <v>517701</v>
      </c>
      <c r="G19" s="35">
        <v>434863</v>
      </c>
      <c r="H19" s="35">
        <v>409418</v>
      </c>
      <c r="I19" s="35">
        <v>355939</v>
      </c>
      <c r="J19" s="35">
        <v>244166</v>
      </c>
      <c r="K19" s="35">
        <v>148318</v>
      </c>
      <c r="L19" s="35">
        <v>77964</v>
      </c>
      <c r="M19" s="35">
        <v>79012</v>
      </c>
      <c r="N19" s="35">
        <v>82133</v>
      </c>
      <c r="O19">
        <f t="shared" si="1"/>
        <v>3192619</v>
      </c>
    </row>
    <row r="20" spans="1:15" x14ac:dyDescent="0.3">
      <c r="A20" t="s">
        <v>23</v>
      </c>
      <c r="C20" s="35">
        <v>770</v>
      </c>
      <c r="D20" s="35">
        <v>1020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70</v>
      </c>
      <c r="L20" s="35">
        <v>161</v>
      </c>
      <c r="M20" s="35">
        <v>853</v>
      </c>
      <c r="N20" s="35">
        <v>191</v>
      </c>
      <c r="O20">
        <f t="shared" si="1"/>
        <v>3065</v>
      </c>
    </row>
    <row r="21" spans="1:15" x14ac:dyDescent="0.3">
      <c r="A21" t="s">
        <v>24</v>
      </c>
      <c r="C21" s="35">
        <v>1774</v>
      </c>
      <c r="D21" s="35">
        <v>7395</v>
      </c>
      <c r="E21" s="35">
        <v>16340</v>
      </c>
      <c r="F21" s="35">
        <v>20928</v>
      </c>
      <c r="G21" s="35">
        <v>16977</v>
      </c>
      <c r="H21" s="35">
        <v>19310</v>
      </c>
      <c r="I21" s="35">
        <v>7608</v>
      </c>
      <c r="J21" s="35">
        <v>4927</v>
      </c>
      <c r="K21" s="35">
        <v>1593</v>
      </c>
      <c r="L21" s="35">
        <v>596</v>
      </c>
      <c r="M21" s="35">
        <v>-2108</v>
      </c>
      <c r="N21" s="35">
        <v>755</v>
      </c>
      <c r="O21">
        <f t="shared" si="1"/>
        <v>96095</v>
      </c>
    </row>
    <row r="22" spans="1:15" x14ac:dyDescent="0.3">
      <c r="A22" t="s">
        <v>25</v>
      </c>
      <c r="C22" s="35">
        <v>19302</v>
      </c>
      <c r="D22" s="35">
        <v>48447</v>
      </c>
      <c r="E22" s="35">
        <v>82029</v>
      </c>
      <c r="F22" s="35">
        <v>68623</v>
      </c>
      <c r="G22" s="35">
        <v>65756</v>
      </c>
      <c r="H22" s="35">
        <v>55519</v>
      </c>
      <c r="I22" s="35">
        <v>47183</v>
      </c>
      <c r="J22" s="35">
        <v>34400</v>
      </c>
      <c r="K22" s="35">
        <v>29376</v>
      </c>
      <c r="L22" s="35">
        <v>19277</v>
      </c>
      <c r="M22" s="35">
        <v>19181</v>
      </c>
      <c r="N22" s="35">
        <v>-24471</v>
      </c>
      <c r="O22">
        <f t="shared" si="1"/>
        <v>464622</v>
      </c>
    </row>
    <row r="23" spans="1:15" x14ac:dyDescent="0.3">
      <c r="A23" t="s">
        <v>26</v>
      </c>
      <c r="C23" s="35">
        <v>6155</v>
      </c>
      <c r="D23" s="35">
        <v>20366</v>
      </c>
      <c r="E23" s="35">
        <v>10725</v>
      </c>
      <c r="F23" s="35">
        <v>1290</v>
      </c>
      <c r="G23" s="35">
        <v>1196</v>
      </c>
      <c r="H23" s="35">
        <v>1257</v>
      </c>
      <c r="I23" s="35">
        <v>1235</v>
      </c>
      <c r="J23" s="35">
        <v>1261</v>
      </c>
      <c r="K23" s="35">
        <v>1079</v>
      </c>
      <c r="L23" s="35">
        <v>983</v>
      </c>
      <c r="M23" s="35">
        <v>864</v>
      </c>
      <c r="N23" s="35">
        <v>1723</v>
      </c>
      <c r="O23">
        <f t="shared" si="1"/>
        <v>48134</v>
      </c>
    </row>
    <row r="24" spans="1:15" x14ac:dyDescent="0.3">
      <c r="A24" t="s">
        <v>27</v>
      </c>
      <c r="C24" s="35">
        <v>1611</v>
      </c>
      <c r="D24" s="35">
        <v>3500</v>
      </c>
      <c r="E24" s="35">
        <v>12803</v>
      </c>
      <c r="F24" s="35">
        <v>1365</v>
      </c>
      <c r="G24" s="35">
        <v>-4042</v>
      </c>
      <c r="H24" s="35">
        <v>290</v>
      </c>
      <c r="I24" s="35">
        <v>3628</v>
      </c>
      <c r="J24" s="35">
        <v>6570</v>
      </c>
      <c r="K24" s="35">
        <v>975</v>
      </c>
      <c r="L24" s="35">
        <v>7181</v>
      </c>
      <c r="M24" s="35">
        <v>4601</v>
      </c>
      <c r="N24" s="35">
        <v>-7739</v>
      </c>
      <c r="O24">
        <f t="shared" si="1"/>
        <v>30743</v>
      </c>
    </row>
    <row r="25" spans="1:15" x14ac:dyDescent="0.3">
      <c r="A25" t="s">
        <v>28</v>
      </c>
      <c r="C25" s="35">
        <v>11119</v>
      </c>
      <c r="D25" s="35">
        <v>11892</v>
      </c>
      <c r="E25" s="35">
        <v>10155</v>
      </c>
      <c r="F25" s="35">
        <v>13155</v>
      </c>
      <c r="G25" s="35">
        <v>14665</v>
      </c>
      <c r="H25" s="35">
        <v>17076</v>
      </c>
      <c r="I25" s="35">
        <v>8</v>
      </c>
      <c r="J25" s="35">
        <v>2018</v>
      </c>
      <c r="K25" s="35">
        <v>0</v>
      </c>
      <c r="L25" s="35">
        <v>0</v>
      </c>
      <c r="M25" s="35">
        <v>0</v>
      </c>
      <c r="N25" s="35">
        <v>3</v>
      </c>
      <c r="O25">
        <f t="shared" si="1"/>
        <v>80091</v>
      </c>
    </row>
    <row r="26" spans="1:15" x14ac:dyDescent="0.3">
      <c r="A26" t="s">
        <v>29</v>
      </c>
      <c r="C26" s="35">
        <v>-1337</v>
      </c>
      <c r="D26" s="35">
        <v>5</v>
      </c>
      <c r="E26" s="35">
        <v>9732</v>
      </c>
      <c r="F26" s="35">
        <v>4173</v>
      </c>
      <c r="G26" s="35">
        <v>-204</v>
      </c>
      <c r="H26" s="35">
        <v>1321</v>
      </c>
      <c r="I26" s="35">
        <v>1254</v>
      </c>
      <c r="J26" s="35">
        <v>1475</v>
      </c>
      <c r="K26" s="35">
        <v>7194</v>
      </c>
      <c r="L26" s="35">
        <v>1927</v>
      </c>
      <c r="M26" s="35">
        <v>-6358</v>
      </c>
      <c r="N26" s="35">
        <v>-524</v>
      </c>
      <c r="O26">
        <f t="shared" si="1"/>
        <v>18658</v>
      </c>
    </row>
    <row r="27" spans="1:15" x14ac:dyDescent="0.3">
      <c r="A27" t="s">
        <v>30</v>
      </c>
      <c r="C27" s="35">
        <v>8260</v>
      </c>
      <c r="D27" s="35">
        <v>5580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19560</v>
      </c>
      <c r="K27" s="35">
        <v>0</v>
      </c>
      <c r="L27" s="35">
        <v>16020</v>
      </c>
      <c r="M27" s="35">
        <v>54810</v>
      </c>
      <c r="N27" s="35">
        <v>10580</v>
      </c>
      <c r="O27">
        <f t="shared" si="1"/>
        <v>114810</v>
      </c>
    </row>
    <row r="29" spans="1:15" x14ac:dyDescent="0.3">
      <c r="A29" s="31" t="s">
        <v>31</v>
      </c>
      <c r="C29">
        <f>SUM(C12:C28)</f>
        <v>1283513</v>
      </c>
      <c r="D29">
        <f t="shared" ref="D29:O29" si="2">SUM(D12:D28)</f>
        <v>2570398</v>
      </c>
      <c r="E29">
        <f t="shared" si="2"/>
        <v>4631826</v>
      </c>
      <c r="F29">
        <f t="shared" si="2"/>
        <v>5344177</v>
      </c>
      <c r="G29">
        <f t="shared" si="2"/>
        <v>5222558</v>
      </c>
      <c r="H29">
        <f t="shared" si="2"/>
        <v>4326838</v>
      </c>
      <c r="I29">
        <f t="shared" si="2"/>
        <v>3624556</v>
      </c>
      <c r="J29">
        <f t="shared" si="2"/>
        <v>2546259</v>
      </c>
      <c r="K29">
        <f t="shared" si="2"/>
        <v>1349383</v>
      </c>
      <c r="L29">
        <f t="shared" si="2"/>
        <v>656085</v>
      </c>
      <c r="M29">
        <f t="shared" si="2"/>
        <v>663194</v>
      </c>
      <c r="N29">
        <f t="shared" si="2"/>
        <v>685245</v>
      </c>
      <c r="O29">
        <f t="shared" si="2"/>
        <v>32904032</v>
      </c>
    </row>
    <row r="30" spans="1:15" x14ac:dyDescent="0.3">
      <c r="A30" s="31"/>
    </row>
    <row r="31" spans="1:15" x14ac:dyDescent="0.3">
      <c r="A31" s="31"/>
    </row>
    <row r="32" spans="1:15" x14ac:dyDescent="0.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x14ac:dyDescent="0.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x14ac:dyDescent="0.3">
      <c r="A34" s="31" t="s">
        <v>8</v>
      </c>
      <c r="C34" s="36">
        <f>DATE(1996,10,15)</f>
        <v>35353</v>
      </c>
      <c r="D34" s="36">
        <f t="shared" ref="D34:N34" si="3">C34+30</f>
        <v>35383</v>
      </c>
      <c r="E34" s="36">
        <f t="shared" si="3"/>
        <v>35413</v>
      </c>
      <c r="F34" s="36">
        <f t="shared" si="3"/>
        <v>35443</v>
      </c>
      <c r="G34" s="36">
        <f t="shared" si="3"/>
        <v>35473</v>
      </c>
      <c r="H34" s="36">
        <f t="shared" si="3"/>
        <v>35503</v>
      </c>
      <c r="I34" s="36">
        <f t="shared" si="3"/>
        <v>35533</v>
      </c>
      <c r="J34" s="36">
        <f t="shared" si="3"/>
        <v>35563</v>
      </c>
      <c r="K34" s="36">
        <f t="shared" si="3"/>
        <v>35593</v>
      </c>
      <c r="L34" s="36">
        <f t="shared" si="3"/>
        <v>35623</v>
      </c>
      <c r="M34" s="36">
        <f t="shared" si="3"/>
        <v>35653</v>
      </c>
      <c r="N34" s="36">
        <f t="shared" si="3"/>
        <v>35683</v>
      </c>
      <c r="O34" s="33" t="s">
        <v>14</v>
      </c>
    </row>
    <row r="35" spans="1:15" x14ac:dyDescent="0.3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</row>
    <row r="36" spans="1:15" x14ac:dyDescent="0.3">
      <c r="A36" s="37" t="s">
        <v>15</v>
      </c>
      <c r="C36" s="41">
        <v>83</v>
      </c>
      <c r="D36" s="41">
        <v>467</v>
      </c>
      <c r="E36" s="41">
        <v>1510</v>
      </c>
      <c r="F36" s="41">
        <v>1829</v>
      </c>
      <c r="G36" s="41">
        <v>2328</v>
      </c>
      <c r="H36" s="41">
        <v>1727</v>
      </c>
      <c r="I36" s="41">
        <v>1855</v>
      </c>
      <c r="J36" s="41">
        <v>1031</v>
      </c>
      <c r="K36" s="41">
        <v>653</v>
      </c>
      <c r="L36" s="41">
        <v>139</v>
      </c>
      <c r="M36" s="41">
        <v>84</v>
      </c>
      <c r="N36" s="41">
        <v>114.7</v>
      </c>
      <c r="O36" s="50">
        <f>SUM(C36:N36)</f>
        <v>11820.7</v>
      </c>
    </row>
    <row r="37" spans="1:15" x14ac:dyDescent="0.3">
      <c r="A37" s="37" t="s">
        <v>32</v>
      </c>
      <c r="C37" s="41">
        <v>17</v>
      </c>
      <c r="D37" s="41">
        <v>13</v>
      </c>
      <c r="E37" s="41">
        <v>46</v>
      </c>
      <c r="F37" s="41">
        <v>39</v>
      </c>
      <c r="G37" s="41">
        <v>55</v>
      </c>
      <c r="H37" s="41">
        <v>22</v>
      </c>
      <c r="I37" s="41">
        <v>22</v>
      </c>
      <c r="J37" s="41">
        <v>15</v>
      </c>
      <c r="K37" s="41">
        <v>22</v>
      </c>
      <c r="L37" s="41">
        <v>8</v>
      </c>
      <c r="M37" s="41">
        <v>8</v>
      </c>
      <c r="N37" s="41">
        <v>7.3</v>
      </c>
      <c r="O37" s="42">
        <f t="shared" ref="O37:O52" si="4">SUM(C37:N37)</f>
        <v>274.3</v>
      </c>
    </row>
    <row r="38" spans="1:15" x14ac:dyDescent="0.3">
      <c r="A38" s="37" t="s">
        <v>33</v>
      </c>
      <c r="C38" s="41">
        <v>0</v>
      </c>
      <c r="D38" s="41">
        <v>0</v>
      </c>
      <c r="E38" s="41">
        <v>0</v>
      </c>
      <c r="F38" s="41">
        <v>13</v>
      </c>
      <c r="G38" s="41">
        <v>12</v>
      </c>
      <c r="H38" s="41">
        <v>26</v>
      </c>
      <c r="I38" s="41">
        <v>26</v>
      </c>
      <c r="J38" s="41">
        <v>13</v>
      </c>
      <c r="K38" s="41">
        <v>6</v>
      </c>
      <c r="L38" s="41">
        <v>1</v>
      </c>
      <c r="M38" s="41">
        <v>0</v>
      </c>
      <c r="N38" s="41">
        <v>0</v>
      </c>
      <c r="O38" s="42">
        <f t="shared" si="4"/>
        <v>97</v>
      </c>
    </row>
    <row r="39" spans="1:15" x14ac:dyDescent="0.3">
      <c r="A39" s="37" t="s">
        <v>34</v>
      </c>
      <c r="C39" s="41">
        <v>1005</v>
      </c>
      <c r="D39" s="41">
        <v>1318</v>
      </c>
      <c r="E39" s="41">
        <v>1685</v>
      </c>
      <c r="F39" s="41">
        <v>1949</v>
      </c>
      <c r="G39" s="41">
        <v>2224</v>
      </c>
      <c r="H39" s="41">
        <v>1327</v>
      </c>
      <c r="I39" s="41">
        <v>897</v>
      </c>
      <c r="J39" s="41">
        <v>914</v>
      </c>
      <c r="K39" s="41">
        <v>893</v>
      </c>
      <c r="L39" s="41">
        <v>600</v>
      </c>
      <c r="M39" s="41">
        <v>653</v>
      </c>
      <c r="N39" s="41">
        <v>763.9</v>
      </c>
      <c r="O39" s="42">
        <f t="shared" si="4"/>
        <v>14228.9</v>
      </c>
    </row>
    <row r="40" spans="1:15" x14ac:dyDescent="0.3">
      <c r="A40" s="37" t="s">
        <v>35</v>
      </c>
      <c r="C40" s="41">
        <v>8</v>
      </c>
      <c r="D40" s="41">
        <v>61</v>
      </c>
      <c r="E40" s="41">
        <v>454</v>
      </c>
      <c r="F40" s="41">
        <v>940</v>
      </c>
      <c r="G40" s="41">
        <v>1402</v>
      </c>
      <c r="H40" s="41">
        <v>1480</v>
      </c>
      <c r="I40" s="41">
        <v>774</v>
      </c>
      <c r="J40" s="41">
        <v>377</v>
      </c>
      <c r="K40" s="41">
        <v>202</v>
      </c>
      <c r="L40" s="41">
        <v>155</v>
      </c>
      <c r="M40" s="41">
        <v>141</v>
      </c>
      <c r="N40" s="41">
        <v>164.2</v>
      </c>
      <c r="O40" s="42">
        <f t="shared" si="4"/>
        <v>6158.2</v>
      </c>
    </row>
    <row r="41" spans="1:15" x14ac:dyDescent="0.3">
      <c r="A41" s="37" t="s">
        <v>36</v>
      </c>
      <c r="C41" s="41">
        <v>121558</v>
      </c>
      <c r="D41" s="41">
        <v>208247</v>
      </c>
      <c r="E41" s="41">
        <v>358799</v>
      </c>
      <c r="F41" s="41">
        <v>397246</v>
      </c>
      <c r="G41" s="41">
        <v>471938</v>
      </c>
      <c r="H41" s="41">
        <v>348939</v>
      </c>
      <c r="I41" s="41">
        <v>382413</v>
      </c>
      <c r="J41" s="41">
        <v>295326</v>
      </c>
      <c r="K41" s="41">
        <v>208993</v>
      </c>
      <c r="L41" s="41">
        <v>124372</v>
      </c>
      <c r="M41" s="41">
        <v>107319.2</v>
      </c>
      <c r="N41" s="41">
        <v>105042.3</v>
      </c>
      <c r="O41" s="42">
        <f t="shared" si="4"/>
        <v>3130192.5</v>
      </c>
    </row>
    <row r="42" spans="1:15" x14ac:dyDescent="0.3">
      <c r="A42" s="37" t="s">
        <v>37</v>
      </c>
      <c r="C42" s="41">
        <v>6582</v>
      </c>
      <c r="D42" s="41">
        <v>16952</v>
      </c>
      <c r="E42" s="41">
        <v>35404</v>
      </c>
      <c r="F42" s="41">
        <v>104961</v>
      </c>
      <c r="G42" s="41">
        <v>138222</v>
      </c>
      <c r="H42" s="41">
        <v>135606</v>
      </c>
      <c r="I42" s="41">
        <v>102014</v>
      </c>
      <c r="J42" s="41">
        <v>41828</v>
      </c>
      <c r="K42" s="41">
        <v>29457</v>
      </c>
      <c r="L42" s="41">
        <v>10253</v>
      </c>
      <c r="M42" s="41">
        <v>7072</v>
      </c>
      <c r="N42" s="41">
        <v>14366.4</v>
      </c>
      <c r="O42" s="42">
        <f t="shared" si="4"/>
        <v>642717.4</v>
      </c>
    </row>
    <row r="43" spans="1:15" x14ac:dyDescent="0.3">
      <c r="A43" s="37" t="s">
        <v>38</v>
      </c>
      <c r="C43" s="41">
        <v>534</v>
      </c>
      <c r="D43" s="41">
        <v>217</v>
      </c>
      <c r="E43" s="41">
        <v>17</v>
      </c>
      <c r="F43" s="41">
        <v>0</v>
      </c>
      <c r="G43" s="41">
        <v>0</v>
      </c>
      <c r="H43" s="41">
        <v>0</v>
      </c>
      <c r="I43" s="41">
        <v>0</v>
      </c>
      <c r="J43" s="41">
        <v>85</v>
      </c>
      <c r="K43" s="41">
        <v>305</v>
      </c>
      <c r="L43" s="41">
        <v>1211</v>
      </c>
      <c r="M43" s="41">
        <v>978</v>
      </c>
      <c r="N43" s="41">
        <v>2389.5</v>
      </c>
      <c r="O43" s="42">
        <f t="shared" si="4"/>
        <v>5736.5</v>
      </c>
    </row>
    <row r="44" spans="1:15" x14ac:dyDescent="0.3">
      <c r="A44" s="37" t="s">
        <v>39</v>
      </c>
      <c r="C44" s="41">
        <v>255</v>
      </c>
      <c r="D44" s="41">
        <v>1096</v>
      </c>
      <c r="E44" s="41">
        <v>1495</v>
      </c>
      <c r="F44" s="41">
        <v>2184</v>
      </c>
      <c r="G44" s="41">
        <v>2584</v>
      </c>
      <c r="H44" s="41">
        <v>1678</v>
      </c>
      <c r="I44" s="41">
        <v>1430</v>
      </c>
      <c r="J44" s="41">
        <v>902</v>
      </c>
      <c r="K44" s="41">
        <v>275</v>
      </c>
      <c r="L44" s="41">
        <v>191</v>
      </c>
      <c r="M44" s="41">
        <v>38</v>
      </c>
      <c r="N44" s="41">
        <v>36</v>
      </c>
      <c r="O44" s="43">
        <f t="shared" si="4"/>
        <v>12164</v>
      </c>
    </row>
    <row r="45" spans="1:15" x14ac:dyDescent="0.3">
      <c r="A45" s="37" t="s">
        <v>40</v>
      </c>
      <c r="C45" s="41">
        <v>150371</v>
      </c>
      <c r="D45" s="41">
        <v>194377</v>
      </c>
      <c r="E45" s="41">
        <v>278160</v>
      </c>
      <c r="F45" s="41">
        <v>285829</v>
      </c>
      <c r="G45" s="41">
        <v>334949</v>
      </c>
      <c r="H45" s="41">
        <v>260135</v>
      </c>
      <c r="I45" s="41">
        <v>274368</v>
      </c>
      <c r="J45" s="41">
        <v>244393</v>
      </c>
      <c r="K45" s="41">
        <v>193764</v>
      </c>
      <c r="L45" s="41">
        <v>162431.29999999999</v>
      </c>
      <c r="M45" s="41">
        <v>148300.1</v>
      </c>
      <c r="N45" s="41">
        <v>157926.70000000001</v>
      </c>
      <c r="O45" s="43">
        <f t="shared" si="4"/>
        <v>2685004.1</v>
      </c>
    </row>
    <row r="46" spans="1:15" x14ac:dyDescent="0.3">
      <c r="A46" s="37" t="s">
        <v>41</v>
      </c>
      <c r="C46" s="41">
        <v>5046</v>
      </c>
      <c r="D46" s="41">
        <v>13666</v>
      </c>
      <c r="E46" s="41">
        <v>31875</v>
      </c>
      <c r="F46" s="41">
        <v>66640</v>
      </c>
      <c r="G46" s="41">
        <v>89214</v>
      </c>
      <c r="H46" s="41">
        <v>84244</v>
      </c>
      <c r="I46" s="41">
        <v>74742</v>
      </c>
      <c r="J46" s="41">
        <v>32478</v>
      </c>
      <c r="K46" s="41">
        <v>12383</v>
      </c>
      <c r="L46" s="41">
        <v>4682</v>
      </c>
      <c r="M46" s="41">
        <v>6345.9</v>
      </c>
      <c r="N46" s="41">
        <v>12542.3</v>
      </c>
      <c r="O46" s="43">
        <f t="shared" si="4"/>
        <v>433858.2</v>
      </c>
    </row>
    <row r="47" spans="1:15" x14ac:dyDescent="0.3">
      <c r="A47" s="37" t="s">
        <v>26</v>
      </c>
      <c r="C47" s="41">
        <v>25993</v>
      </c>
      <c r="D47" s="41">
        <v>5546</v>
      </c>
      <c r="E47" s="41">
        <v>2605</v>
      </c>
      <c r="F47" s="41">
        <v>0</v>
      </c>
      <c r="G47" s="41">
        <v>0</v>
      </c>
      <c r="H47" s="41">
        <v>0</v>
      </c>
      <c r="I47" s="41">
        <v>0</v>
      </c>
      <c r="J47" s="41">
        <v>6353</v>
      </c>
      <c r="K47" s="41">
        <v>17492</v>
      </c>
      <c r="L47" s="41">
        <v>22917</v>
      </c>
      <c r="M47" s="41">
        <v>25006</v>
      </c>
      <c r="N47" s="41">
        <v>24155.5</v>
      </c>
      <c r="O47" s="43">
        <f t="shared" si="4"/>
        <v>130067.5</v>
      </c>
    </row>
    <row r="48" spans="1:15" x14ac:dyDescent="0.3">
      <c r="A48" s="37" t="s">
        <v>42</v>
      </c>
      <c r="C48" s="41">
        <v>241229</v>
      </c>
      <c r="D48" s="41">
        <v>326503</v>
      </c>
      <c r="E48" s="41">
        <v>369441</v>
      </c>
      <c r="F48" s="41">
        <v>374777</v>
      </c>
      <c r="G48" s="41">
        <v>426559</v>
      </c>
      <c r="H48" s="41">
        <v>333617</v>
      </c>
      <c r="I48" s="41">
        <v>356957</v>
      </c>
      <c r="J48" s="41">
        <v>296888</v>
      </c>
      <c r="K48" s="41">
        <v>249972</v>
      </c>
      <c r="L48" s="41">
        <v>213987.1</v>
      </c>
      <c r="M48" s="41">
        <v>177623.8</v>
      </c>
      <c r="N48" s="41">
        <v>177948.1</v>
      </c>
      <c r="O48" s="43">
        <f t="shared" si="4"/>
        <v>3545502</v>
      </c>
    </row>
    <row r="49" spans="1:15" x14ac:dyDescent="0.3">
      <c r="A49" s="37" t="s">
        <v>43</v>
      </c>
      <c r="C49" s="41">
        <v>518</v>
      </c>
      <c r="D49" s="41">
        <v>1305</v>
      </c>
      <c r="E49" s="41">
        <v>22959</v>
      </c>
      <c r="F49" s="41">
        <v>32873</v>
      </c>
      <c r="G49" s="41">
        <v>28425</v>
      </c>
      <c r="H49" s="41">
        <v>49682</v>
      </c>
      <c r="I49" s="41">
        <v>39511</v>
      </c>
      <c r="J49" s="41">
        <v>19989</v>
      </c>
      <c r="K49" s="41">
        <v>17689</v>
      </c>
      <c r="L49" s="41">
        <v>3687</v>
      </c>
      <c r="M49" s="41">
        <v>18636</v>
      </c>
      <c r="N49" s="41">
        <v>19688</v>
      </c>
      <c r="O49" s="43">
        <f t="shared" si="4"/>
        <v>254962</v>
      </c>
    </row>
    <row r="50" spans="1:15" x14ac:dyDescent="0.3">
      <c r="A50" s="37" t="s">
        <v>44</v>
      </c>
      <c r="C50" s="41">
        <v>14488</v>
      </c>
      <c r="D50" s="41">
        <v>19820</v>
      </c>
      <c r="E50" s="41">
        <v>22504</v>
      </c>
      <c r="F50" s="41">
        <v>24160</v>
      </c>
      <c r="G50" s="41">
        <v>63299</v>
      </c>
      <c r="H50" s="41">
        <v>53660</v>
      </c>
      <c r="I50" s="41">
        <v>49189</v>
      </c>
      <c r="J50" s="41">
        <v>46430</v>
      </c>
      <c r="K50" s="41">
        <v>36599</v>
      </c>
      <c r="L50" s="41">
        <v>34897</v>
      </c>
      <c r="M50" s="41">
        <v>30364</v>
      </c>
      <c r="N50" s="41">
        <v>36236.800000000003</v>
      </c>
      <c r="O50" s="43">
        <f t="shared" si="4"/>
        <v>431646.8</v>
      </c>
    </row>
    <row r="51" spans="1:15" x14ac:dyDescent="0.3">
      <c r="A51" s="37" t="s">
        <v>45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9821</v>
      </c>
      <c r="K51" s="41">
        <v>16592</v>
      </c>
      <c r="L51" s="41">
        <v>17253</v>
      </c>
      <c r="M51" s="41">
        <v>16008</v>
      </c>
      <c r="N51" s="41">
        <v>16377.9</v>
      </c>
      <c r="O51" s="43">
        <f t="shared" si="4"/>
        <v>76051.899999999994</v>
      </c>
    </row>
    <row r="52" spans="1:15" x14ac:dyDescent="0.3">
      <c r="A52" s="37" t="s">
        <v>28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536</v>
      </c>
      <c r="K52" s="41">
        <v>3149</v>
      </c>
      <c r="L52" s="41">
        <v>4713</v>
      </c>
      <c r="M52" s="41">
        <v>5771</v>
      </c>
      <c r="N52" s="41">
        <v>5856</v>
      </c>
      <c r="O52" s="43">
        <f t="shared" si="4"/>
        <v>20025</v>
      </c>
    </row>
    <row r="53" spans="1:15" x14ac:dyDescent="0.3">
      <c r="A53" s="37" t="s">
        <v>46</v>
      </c>
      <c r="C53" s="41">
        <v>50495</v>
      </c>
      <c r="D53" s="41">
        <v>57941</v>
      </c>
      <c r="E53" s="41">
        <v>83477</v>
      </c>
      <c r="F53" s="41">
        <v>73368</v>
      </c>
      <c r="G53" s="41">
        <v>97097</v>
      </c>
      <c r="H53" s="41">
        <v>56706</v>
      </c>
      <c r="I53" s="41">
        <v>99581</v>
      </c>
      <c r="J53" s="41">
        <v>89079</v>
      </c>
      <c r="K53" s="41">
        <v>61759</v>
      </c>
      <c r="L53" s="41">
        <v>56168</v>
      </c>
      <c r="M53" s="41">
        <v>52921</v>
      </c>
      <c r="N53" s="41">
        <v>58229.5</v>
      </c>
      <c r="O53" s="43">
        <f>SUM(C53:N53)</f>
        <v>836821.5</v>
      </c>
    </row>
    <row r="54" spans="1:15" x14ac:dyDescent="0.3">
      <c r="A54" s="37" t="s">
        <v>47</v>
      </c>
      <c r="C54" s="41">
        <v>38</v>
      </c>
      <c r="D54" s="41">
        <v>1155</v>
      </c>
      <c r="E54" s="41">
        <v>1581</v>
      </c>
      <c r="F54" s="41">
        <v>9047</v>
      </c>
      <c r="G54" s="41">
        <v>6738</v>
      </c>
      <c r="H54" s="41">
        <v>24511</v>
      </c>
      <c r="I54" s="41">
        <v>20017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3">
        <f>SUM(C54:N54)</f>
        <v>63087</v>
      </c>
    </row>
    <row r="55" spans="1:15" x14ac:dyDescent="0.3">
      <c r="A55" s="37" t="s">
        <v>48</v>
      </c>
      <c r="C55" s="41">
        <v>637419</v>
      </c>
      <c r="D55" s="41">
        <v>656491</v>
      </c>
      <c r="E55" s="41">
        <v>741278</v>
      </c>
      <c r="F55" s="41">
        <v>777444</v>
      </c>
      <c r="G55" s="41">
        <v>917630</v>
      </c>
      <c r="H55" s="41">
        <v>778039</v>
      </c>
      <c r="I55" s="41">
        <v>754396</v>
      </c>
      <c r="J55" s="41">
        <v>683871</v>
      </c>
      <c r="K55" s="41">
        <v>658334</v>
      </c>
      <c r="L55" s="41">
        <v>592391</v>
      </c>
      <c r="M55" s="41">
        <v>608751</v>
      </c>
      <c r="N55" s="41">
        <v>598301.4</v>
      </c>
      <c r="O55" s="43">
        <f>SUM(C55:N55)</f>
        <v>8404345.4000000004</v>
      </c>
    </row>
    <row r="56" spans="1:15" x14ac:dyDescent="0.3">
      <c r="A56" s="37" t="s">
        <v>49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3">
        <f>SUM(C56:N56)</f>
        <v>0</v>
      </c>
    </row>
    <row r="57" spans="1:15" x14ac:dyDescent="0.3">
      <c r="A57" s="37" t="s">
        <v>30</v>
      </c>
      <c r="C57" s="41">
        <v>1453</v>
      </c>
      <c r="D57" s="41">
        <v>1655</v>
      </c>
      <c r="E57" s="41">
        <v>1476</v>
      </c>
      <c r="F57" s="41">
        <v>1353</v>
      </c>
      <c r="G57" s="41">
        <v>1381</v>
      </c>
      <c r="H57" s="41">
        <v>1369</v>
      </c>
      <c r="I57" s="41">
        <v>1418</v>
      </c>
      <c r="J57" s="41">
        <v>1475</v>
      </c>
      <c r="K57" s="41">
        <v>0</v>
      </c>
      <c r="L57" s="41">
        <v>0</v>
      </c>
      <c r="M57" s="41">
        <v>0</v>
      </c>
      <c r="N57" s="41">
        <v>0</v>
      </c>
      <c r="O57" s="43">
        <f>SUM(C57:N57)</f>
        <v>11580</v>
      </c>
    </row>
    <row r="58" spans="1:15" x14ac:dyDescent="0.3">
      <c r="B58" s="40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</row>
    <row r="59" spans="1:15" x14ac:dyDescent="0.3">
      <c r="A59" s="31" t="s">
        <v>50</v>
      </c>
      <c r="C59" s="42">
        <f>SUM(C36:C58)</f>
        <v>1257092</v>
      </c>
      <c r="D59" s="42">
        <f t="shared" ref="D59:O59" si="5">SUM(D36:D58)</f>
        <v>1506830</v>
      </c>
      <c r="E59" s="42">
        <f t="shared" si="5"/>
        <v>1954766</v>
      </c>
      <c r="F59" s="42">
        <f t="shared" si="5"/>
        <v>2154652</v>
      </c>
      <c r="G59" s="42">
        <f t="shared" si="5"/>
        <v>2584057</v>
      </c>
      <c r="H59" s="42">
        <f t="shared" si="5"/>
        <v>2132768</v>
      </c>
      <c r="I59" s="42">
        <f t="shared" si="5"/>
        <v>2159610</v>
      </c>
      <c r="J59" s="42">
        <f t="shared" si="5"/>
        <v>1771804</v>
      </c>
      <c r="K59" s="42">
        <f t="shared" si="5"/>
        <v>1508539</v>
      </c>
      <c r="L59" s="42">
        <f t="shared" si="5"/>
        <v>1250056.3999999999</v>
      </c>
      <c r="M59" s="42">
        <f t="shared" si="5"/>
        <v>1206020</v>
      </c>
      <c r="N59" s="42">
        <f t="shared" si="5"/>
        <v>1230146.5</v>
      </c>
      <c r="O59" s="42">
        <f t="shared" si="5"/>
        <v>20716340.900000002</v>
      </c>
    </row>
    <row r="60" spans="1:15" x14ac:dyDescent="0.3">
      <c r="A60" s="37"/>
      <c r="B60" s="46"/>
      <c r="C60" s="46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6"/>
    </row>
    <row r="61" spans="1:15" x14ac:dyDescent="0.3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5" x14ac:dyDescent="0.3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5" x14ac:dyDescent="0.3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5" x14ac:dyDescent="0.3">
      <c r="A64" s="31" t="s">
        <v>10</v>
      </c>
      <c r="C64" s="36">
        <f>DATE(1996,10,15)</f>
        <v>35353</v>
      </c>
      <c r="D64" s="36">
        <f t="shared" ref="D64:N64" si="6">C64+30</f>
        <v>35383</v>
      </c>
      <c r="E64" s="36">
        <f t="shared" si="6"/>
        <v>35413</v>
      </c>
      <c r="F64" s="36">
        <f t="shared" si="6"/>
        <v>35443</v>
      </c>
      <c r="G64" s="36">
        <f t="shared" si="6"/>
        <v>35473</v>
      </c>
      <c r="H64" s="36">
        <f t="shared" si="6"/>
        <v>35503</v>
      </c>
      <c r="I64" s="36">
        <f t="shared" si="6"/>
        <v>35533</v>
      </c>
      <c r="J64" s="36">
        <f t="shared" si="6"/>
        <v>35563</v>
      </c>
      <c r="K64" s="36">
        <f t="shared" si="6"/>
        <v>35593</v>
      </c>
      <c r="L64" s="36">
        <f t="shared" si="6"/>
        <v>35623</v>
      </c>
      <c r="M64" s="36">
        <f t="shared" si="6"/>
        <v>35653</v>
      </c>
      <c r="N64" s="36">
        <f t="shared" si="6"/>
        <v>35683</v>
      </c>
      <c r="O64" s="33" t="s">
        <v>14</v>
      </c>
    </row>
    <row r="65" spans="1:15" x14ac:dyDescent="0.3">
      <c r="A65" s="37"/>
      <c r="C65" s="38"/>
      <c r="D65" s="38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</row>
    <row r="66" spans="1:15" x14ac:dyDescent="0.3">
      <c r="A66" s="37" t="s">
        <v>15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f t="shared" ref="O66:O79" si="7">SUM(C66:N66)</f>
        <v>0</v>
      </c>
    </row>
    <row r="67" spans="1:15" x14ac:dyDescent="0.3">
      <c r="A67" s="37" t="s">
        <v>51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f t="shared" si="7"/>
        <v>0</v>
      </c>
    </row>
    <row r="68" spans="1:15" x14ac:dyDescent="0.3">
      <c r="A68" s="37" t="s">
        <v>52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f t="shared" si="7"/>
        <v>0</v>
      </c>
    </row>
    <row r="69" spans="1:15" x14ac:dyDescent="0.3">
      <c r="A69" s="37" t="s">
        <v>53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f t="shared" si="7"/>
        <v>0</v>
      </c>
    </row>
    <row r="70" spans="1:15" x14ac:dyDescent="0.3">
      <c r="A70" s="37" t="s">
        <v>54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f t="shared" si="7"/>
        <v>0</v>
      </c>
    </row>
    <row r="71" spans="1:15" x14ac:dyDescent="0.3">
      <c r="A71" s="37" t="s">
        <v>55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f t="shared" si="7"/>
        <v>0</v>
      </c>
    </row>
    <row r="72" spans="1:15" x14ac:dyDescent="0.3">
      <c r="A72" s="37" t="s">
        <v>56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f t="shared" si="7"/>
        <v>0</v>
      </c>
    </row>
    <row r="73" spans="1:15" x14ac:dyDescent="0.3">
      <c r="A73" s="37" t="s">
        <v>57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f t="shared" si="7"/>
        <v>0</v>
      </c>
    </row>
    <row r="74" spans="1:15" x14ac:dyDescent="0.3">
      <c r="A74" s="37" t="s">
        <v>58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f t="shared" si="7"/>
        <v>0</v>
      </c>
    </row>
    <row r="75" spans="1:15" x14ac:dyDescent="0.3">
      <c r="A75" s="37" t="s">
        <v>59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f t="shared" si="7"/>
        <v>0</v>
      </c>
    </row>
    <row r="76" spans="1:15" x14ac:dyDescent="0.3">
      <c r="A76" s="37" t="s">
        <v>39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f t="shared" si="7"/>
        <v>0</v>
      </c>
    </row>
    <row r="77" spans="1:15" x14ac:dyDescent="0.3">
      <c r="A77" s="37" t="s">
        <v>60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f t="shared" si="7"/>
        <v>0</v>
      </c>
    </row>
    <row r="78" spans="1:15" x14ac:dyDescent="0.3">
      <c r="A78" s="37" t="s">
        <v>61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f t="shared" si="7"/>
        <v>0</v>
      </c>
    </row>
    <row r="79" spans="1:15" x14ac:dyDescent="0.3">
      <c r="A79" s="37" t="s">
        <v>62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f t="shared" si="7"/>
        <v>0</v>
      </c>
    </row>
    <row r="80" spans="1:15" x14ac:dyDescent="0.3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1:15" x14ac:dyDescent="0.3">
      <c r="A81" s="31" t="s">
        <v>11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1:15" x14ac:dyDescent="0.3">
      <c r="A82" s="31" t="s">
        <v>12</v>
      </c>
      <c r="C82" s="42">
        <f t="shared" ref="C82:O82" si="8">SUM(C66:C79)</f>
        <v>0</v>
      </c>
      <c r="D82" s="42">
        <f t="shared" si="8"/>
        <v>0</v>
      </c>
      <c r="E82" s="48">
        <f t="shared" si="8"/>
        <v>0</v>
      </c>
      <c r="F82" s="48">
        <f t="shared" si="8"/>
        <v>0</v>
      </c>
      <c r="G82" s="48">
        <f t="shared" si="8"/>
        <v>0</v>
      </c>
      <c r="H82" s="48">
        <f t="shared" si="8"/>
        <v>0</v>
      </c>
      <c r="I82" s="48">
        <f t="shared" si="8"/>
        <v>0</v>
      </c>
      <c r="J82" s="48">
        <f t="shared" si="8"/>
        <v>0</v>
      </c>
      <c r="K82" s="48">
        <f t="shared" si="8"/>
        <v>0</v>
      </c>
      <c r="L82" s="48">
        <f t="shared" si="8"/>
        <v>0</v>
      </c>
      <c r="M82" s="48">
        <f t="shared" si="8"/>
        <v>0</v>
      </c>
      <c r="N82" s="48">
        <f t="shared" si="8"/>
        <v>0</v>
      </c>
      <c r="O82" s="42">
        <f t="shared" si="8"/>
        <v>0</v>
      </c>
    </row>
    <row r="83" spans="1:15" x14ac:dyDescent="0.3">
      <c r="B83" s="1"/>
      <c r="G83" s="2"/>
    </row>
    <row r="84" spans="1:15" x14ac:dyDescent="0.3">
      <c r="E84" s="1"/>
    </row>
    <row r="85" spans="1:15" x14ac:dyDescent="0.3">
      <c r="A85" s="31" t="s">
        <v>63</v>
      </c>
      <c r="C85">
        <f t="shared" ref="C85:O85" si="9">C29+C59+C82</f>
        <v>2540605</v>
      </c>
      <c r="D85">
        <f t="shared" si="9"/>
        <v>4077228</v>
      </c>
      <c r="E85">
        <f t="shared" si="9"/>
        <v>6586592</v>
      </c>
      <c r="F85">
        <f t="shared" si="9"/>
        <v>7498829</v>
      </c>
      <c r="G85">
        <f t="shared" si="9"/>
        <v>7806615</v>
      </c>
      <c r="H85">
        <f t="shared" si="9"/>
        <v>6459606</v>
      </c>
      <c r="I85">
        <f t="shared" si="9"/>
        <v>5784166</v>
      </c>
      <c r="J85">
        <f t="shared" si="9"/>
        <v>4318063</v>
      </c>
      <c r="K85">
        <f t="shared" si="9"/>
        <v>2857922</v>
      </c>
      <c r="L85">
        <f t="shared" si="9"/>
        <v>1906141.4</v>
      </c>
      <c r="M85">
        <f t="shared" si="9"/>
        <v>1869214</v>
      </c>
      <c r="N85">
        <f t="shared" si="9"/>
        <v>1915391.5</v>
      </c>
      <c r="O85">
        <f t="shared" si="9"/>
        <v>53620372.900000006</v>
      </c>
    </row>
  </sheetData>
  <pageMargins left="0.75" right="0.75" top="1" bottom="1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59" zoomScale="75" workbookViewId="0">
      <selection activeCell="A61" sqref="A61"/>
    </sheetView>
  </sheetViews>
  <sheetFormatPr defaultRowHeight="15.6" x14ac:dyDescent="0.3"/>
  <cols>
    <col min="1" max="1" width="30.1796875" customWidth="1"/>
    <col min="2" max="2" width="10.81640625" customWidth="1"/>
    <col min="3" max="3" width="11.90625" customWidth="1"/>
    <col min="4" max="4" width="11.81640625" customWidth="1"/>
    <col min="5" max="5" width="11.90625" customWidth="1"/>
    <col min="6" max="6" width="12.08984375" customWidth="1"/>
    <col min="7" max="8" width="11.6328125" customWidth="1"/>
    <col min="9" max="9" width="12" customWidth="1"/>
    <col min="10" max="10" width="11.81640625" customWidth="1"/>
    <col min="11" max="12" width="11.90625" customWidth="1"/>
    <col min="13" max="13" width="11.81640625" customWidth="1"/>
    <col min="14" max="14" width="12" customWidth="1"/>
    <col min="15" max="15" width="12.54296875" customWidth="1"/>
  </cols>
  <sheetData>
    <row r="1" spans="1:1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9" spans="1:15" x14ac:dyDescent="0.3">
      <c r="A9" s="31"/>
      <c r="H9" s="1"/>
    </row>
    <row r="10" spans="1:15" x14ac:dyDescent="0.3">
      <c r="A10" s="31" t="s">
        <v>13</v>
      </c>
      <c r="C10" s="36">
        <f>DATE(1997,10,15)</f>
        <v>35718</v>
      </c>
      <c r="D10" s="36">
        <f t="shared" ref="D10:N10" si="0">C10+30</f>
        <v>35748</v>
      </c>
      <c r="E10" s="36">
        <f t="shared" si="0"/>
        <v>35778</v>
      </c>
      <c r="F10" s="36">
        <f t="shared" si="0"/>
        <v>35808</v>
      </c>
      <c r="G10" s="36">
        <f t="shared" si="0"/>
        <v>35838</v>
      </c>
      <c r="H10" s="36">
        <f t="shared" si="0"/>
        <v>35868</v>
      </c>
      <c r="I10" s="36">
        <f t="shared" si="0"/>
        <v>35898</v>
      </c>
      <c r="J10" s="36">
        <f t="shared" si="0"/>
        <v>35928</v>
      </c>
      <c r="K10" s="36">
        <f t="shared" si="0"/>
        <v>35958</v>
      </c>
      <c r="L10" s="36">
        <f t="shared" si="0"/>
        <v>35988</v>
      </c>
      <c r="M10" s="36">
        <f t="shared" si="0"/>
        <v>36018</v>
      </c>
      <c r="N10" s="36">
        <f t="shared" si="0"/>
        <v>36048</v>
      </c>
      <c r="O10" s="33" t="s">
        <v>14</v>
      </c>
    </row>
    <row r="11" spans="1:15" x14ac:dyDescent="0.3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x14ac:dyDescent="0.3">
      <c r="A12" t="s">
        <v>15</v>
      </c>
      <c r="C12" s="35">
        <f>883254-254</f>
        <v>883000</v>
      </c>
      <c r="D12" s="35">
        <f>1843190+11</f>
        <v>1843201</v>
      </c>
      <c r="E12" s="35">
        <f>2967614+11</f>
        <v>2967625</v>
      </c>
      <c r="F12" s="35">
        <f>3247682+11</f>
        <v>3247693</v>
      </c>
      <c r="G12" s="35">
        <f>3008850+11</f>
        <v>3008861</v>
      </c>
      <c r="H12" s="35">
        <f>2748845+11</f>
        <v>2748856</v>
      </c>
      <c r="I12" s="35">
        <f>1958387+11</f>
        <v>1958398</v>
      </c>
      <c r="J12" s="35">
        <f>1073846+11</f>
        <v>1073857</v>
      </c>
      <c r="K12" s="35">
        <f>620551+11</f>
        <v>620562</v>
      </c>
      <c r="L12" s="35">
        <f>419009+11</f>
        <v>419020</v>
      </c>
      <c r="M12" s="35">
        <f>390107+11</f>
        <v>390118</v>
      </c>
      <c r="N12" s="35">
        <f>424189+11</f>
        <v>424200</v>
      </c>
      <c r="O12">
        <f t="shared" ref="O12:O26" si="1">SUM(C12:N12)</f>
        <v>19585391</v>
      </c>
    </row>
    <row r="13" spans="1:15" x14ac:dyDescent="0.3">
      <c r="A13" t="s">
        <v>16</v>
      </c>
      <c r="C13" s="35">
        <v>121</v>
      </c>
      <c r="D13" s="35">
        <v>14</v>
      </c>
      <c r="E13" s="35">
        <v>22</v>
      </c>
      <c r="F13" s="35">
        <v>28</v>
      </c>
      <c r="G13" s="35">
        <v>-3</v>
      </c>
      <c r="H13" s="35">
        <v>2</v>
      </c>
      <c r="I13" s="35">
        <v>0</v>
      </c>
      <c r="J13" s="35">
        <v>0</v>
      </c>
      <c r="K13" s="35">
        <v>0</v>
      </c>
      <c r="L13" s="35">
        <v>0</v>
      </c>
      <c r="M13" s="35">
        <v>8</v>
      </c>
      <c r="N13" s="35">
        <v>-3</v>
      </c>
      <c r="O13">
        <f t="shared" si="1"/>
        <v>189</v>
      </c>
    </row>
    <row r="14" spans="1:15" x14ac:dyDescent="0.3">
      <c r="A14" t="s">
        <v>17</v>
      </c>
      <c r="C14" s="35">
        <v>1397</v>
      </c>
      <c r="D14" s="35">
        <v>3589</v>
      </c>
      <c r="E14" s="35">
        <v>6340</v>
      </c>
      <c r="F14" s="35">
        <v>8475</v>
      </c>
      <c r="G14" s="35">
        <v>8296</v>
      </c>
      <c r="H14" s="35">
        <v>8645</v>
      </c>
      <c r="I14" s="35">
        <v>6454</v>
      </c>
      <c r="J14" s="35">
        <v>3728</v>
      </c>
      <c r="K14" s="35">
        <v>2238</v>
      </c>
      <c r="L14" s="35">
        <v>1573</v>
      </c>
      <c r="M14" s="35">
        <v>1475</v>
      </c>
      <c r="N14" s="35">
        <v>1432</v>
      </c>
      <c r="O14">
        <f t="shared" si="1"/>
        <v>53642</v>
      </c>
    </row>
    <row r="15" spans="1:15" x14ac:dyDescent="0.3">
      <c r="A15" t="s">
        <v>18</v>
      </c>
      <c r="C15" s="35">
        <v>3941</v>
      </c>
      <c r="D15" s="35">
        <v>9873</v>
      </c>
      <c r="E15" s="35">
        <v>17040</v>
      </c>
      <c r="F15" s="35">
        <v>22074</v>
      </c>
      <c r="G15" s="35">
        <v>22029</v>
      </c>
      <c r="H15" s="35">
        <v>23226</v>
      </c>
      <c r="I15" s="35">
        <v>18030</v>
      </c>
      <c r="J15" s="35">
        <v>10850</v>
      </c>
      <c r="K15" s="35">
        <v>6221</v>
      </c>
      <c r="L15" s="35">
        <v>4208</v>
      </c>
      <c r="M15" s="35">
        <v>3875</v>
      </c>
      <c r="N15" s="35">
        <v>4063</v>
      </c>
      <c r="O15">
        <f t="shared" si="1"/>
        <v>145430</v>
      </c>
    </row>
    <row r="16" spans="1:15" x14ac:dyDescent="0.3">
      <c r="A16" t="s">
        <v>19</v>
      </c>
      <c r="C16" s="35">
        <v>1360</v>
      </c>
      <c r="D16" s="35">
        <v>3274</v>
      </c>
      <c r="E16" s="35">
        <v>6308</v>
      </c>
      <c r="F16" s="35">
        <v>8588</v>
      </c>
      <c r="G16" s="35">
        <v>8902</v>
      </c>
      <c r="H16" s="35">
        <v>9808</v>
      </c>
      <c r="I16" s="35">
        <v>7666</v>
      </c>
      <c r="J16" s="35">
        <v>4456</v>
      </c>
      <c r="K16" s="35">
        <v>2614</v>
      </c>
      <c r="L16" s="35">
        <v>1878</v>
      </c>
      <c r="M16" s="35">
        <v>1593</v>
      </c>
      <c r="N16" s="35">
        <v>1783</v>
      </c>
      <c r="O16">
        <f t="shared" si="1"/>
        <v>58230</v>
      </c>
    </row>
    <row r="17" spans="1:15" x14ac:dyDescent="0.3">
      <c r="A17" t="s">
        <v>20</v>
      </c>
      <c r="C17" s="35">
        <v>28796</v>
      </c>
      <c r="D17" s="35">
        <v>71158</v>
      </c>
      <c r="E17" s="35">
        <v>131911</v>
      </c>
      <c r="F17" s="35">
        <v>154765</v>
      </c>
      <c r="G17" s="35">
        <v>149209</v>
      </c>
      <c r="H17" s="35">
        <v>127980</v>
      </c>
      <c r="I17" s="35">
        <v>86507</v>
      </c>
      <c r="J17" s="35">
        <v>45254</v>
      </c>
      <c r="K17" s="35">
        <v>17363</v>
      </c>
      <c r="L17" s="35">
        <v>10397</v>
      </c>
      <c r="M17" s="35">
        <v>11434</v>
      </c>
      <c r="N17" s="35">
        <v>13581</v>
      </c>
      <c r="O17">
        <f t="shared" si="1"/>
        <v>848355</v>
      </c>
    </row>
    <row r="18" spans="1:15" x14ac:dyDescent="0.3">
      <c r="A18" t="s">
        <v>21</v>
      </c>
      <c r="C18" s="35">
        <v>70569</v>
      </c>
      <c r="D18" s="35">
        <v>150109</v>
      </c>
      <c r="E18" s="35">
        <v>261035</v>
      </c>
      <c r="F18" s="35">
        <v>290826</v>
      </c>
      <c r="G18" s="35">
        <v>276830</v>
      </c>
      <c r="H18" s="35">
        <v>252754</v>
      </c>
      <c r="I18" s="35">
        <v>175220</v>
      </c>
      <c r="J18" s="35">
        <v>90076</v>
      </c>
      <c r="K18" s="35">
        <v>46085</v>
      </c>
      <c r="L18" s="35">
        <v>33404</v>
      </c>
      <c r="M18" s="35">
        <v>34321</v>
      </c>
      <c r="N18" s="35">
        <v>37741</v>
      </c>
      <c r="O18">
        <f t="shared" si="1"/>
        <v>1718970</v>
      </c>
    </row>
    <row r="19" spans="1:15" x14ac:dyDescent="0.3">
      <c r="A19" t="s">
        <v>22</v>
      </c>
      <c r="C19" s="35">
        <v>118533</v>
      </c>
      <c r="D19" s="35">
        <v>257211</v>
      </c>
      <c r="E19" s="35">
        <v>366493</v>
      </c>
      <c r="F19" s="35">
        <v>380478</v>
      </c>
      <c r="G19" s="35">
        <v>350043</v>
      </c>
      <c r="H19" s="35">
        <v>312248</v>
      </c>
      <c r="I19" s="35">
        <v>251913</v>
      </c>
      <c r="J19" s="35">
        <v>121534</v>
      </c>
      <c r="K19" s="35">
        <v>75551</v>
      </c>
      <c r="L19" s="35">
        <v>57006</v>
      </c>
      <c r="M19" s="35">
        <v>59822</v>
      </c>
      <c r="N19" s="35">
        <v>61441</v>
      </c>
      <c r="O19">
        <f t="shared" si="1"/>
        <v>2412273</v>
      </c>
    </row>
    <row r="20" spans="1:15" x14ac:dyDescent="0.3">
      <c r="A20" t="s">
        <v>24</v>
      </c>
      <c r="C20" s="35">
        <v>1379</v>
      </c>
      <c r="D20" s="35">
        <v>5383</v>
      </c>
      <c r="E20" s="35">
        <v>9917</v>
      </c>
      <c r="F20" s="35">
        <v>10865</v>
      </c>
      <c r="G20" s="35">
        <v>9999</v>
      </c>
      <c r="H20" s="35">
        <v>8627</v>
      </c>
      <c r="I20" s="35">
        <v>4434</v>
      </c>
      <c r="J20" s="35">
        <v>2095</v>
      </c>
      <c r="K20" s="35">
        <v>544</v>
      </c>
      <c r="L20" s="35">
        <v>500</v>
      </c>
      <c r="M20" s="35">
        <v>579</v>
      </c>
      <c r="N20" s="35">
        <v>571</v>
      </c>
      <c r="O20">
        <f t="shared" si="1"/>
        <v>54893</v>
      </c>
    </row>
    <row r="21" spans="1:15" x14ac:dyDescent="0.3">
      <c r="A21" t="s">
        <v>25</v>
      </c>
      <c r="C21" s="35">
        <v>15510.2</v>
      </c>
      <c r="D21" s="35">
        <v>41105.599999999999</v>
      </c>
      <c r="E21" s="35">
        <v>43927.5</v>
      </c>
      <c r="F21" s="35">
        <v>51847.199999999997</v>
      </c>
      <c r="G21" s="35">
        <v>38997.199999999997</v>
      </c>
      <c r="H21" s="35">
        <v>35467.800000000003</v>
      </c>
      <c r="I21" s="35">
        <v>31752</v>
      </c>
      <c r="J21" s="35">
        <v>23227.200000000001</v>
      </c>
      <c r="K21" s="35">
        <v>16421.8</v>
      </c>
      <c r="L21" s="35">
        <v>-4257.3</v>
      </c>
      <c r="M21" s="35">
        <v>7887.6</v>
      </c>
      <c r="N21" s="35">
        <v>7967.5</v>
      </c>
      <c r="O21">
        <f t="shared" si="1"/>
        <v>309854.3</v>
      </c>
    </row>
    <row r="22" spans="1:15" x14ac:dyDescent="0.3">
      <c r="A22" t="s">
        <v>26</v>
      </c>
      <c r="C22" s="35">
        <v>3730.8</v>
      </c>
      <c r="D22" s="35">
        <v>1092.4000000000001</v>
      </c>
      <c r="E22" s="35">
        <v>1239.5</v>
      </c>
      <c r="F22" s="35">
        <v>773.8</v>
      </c>
      <c r="G22" s="35">
        <v>821.8</v>
      </c>
      <c r="H22" s="35">
        <v>771.2</v>
      </c>
      <c r="I22" s="35">
        <v>1100</v>
      </c>
      <c r="J22" s="35">
        <v>978.8</v>
      </c>
      <c r="K22" s="35">
        <v>789.2</v>
      </c>
      <c r="L22" s="35">
        <v>978.3</v>
      </c>
      <c r="M22" s="35">
        <v>653.4</v>
      </c>
      <c r="N22" s="35">
        <v>884.5</v>
      </c>
      <c r="O22">
        <f t="shared" si="1"/>
        <v>13813.7</v>
      </c>
    </row>
    <row r="23" spans="1:15" x14ac:dyDescent="0.3">
      <c r="A23" t="s">
        <v>27</v>
      </c>
      <c r="C23" s="35">
        <v>4768.3999999999996</v>
      </c>
      <c r="D23" s="35">
        <v>6668</v>
      </c>
      <c r="E23" s="35">
        <v>10119</v>
      </c>
      <c r="F23" s="35">
        <v>7037</v>
      </c>
      <c r="G23" s="35">
        <v>1258</v>
      </c>
      <c r="H23" s="35">
        <v>-356</v>
      </c>
      <c r="I23" s="35">
        <v>4143</v>
      </c>
      <c r="J23" s="35">
        <v>145.1</v>
      </c>
      <c r="K23" s="35">
        <v>7809</v>
      </c>
      <c r="L23" s="35">
        <v>-917</v>
      </c>
      <c r="M23" s="35">
        <v>2906</v>
      </c>
      <c r="N23" s="35">
        <v>-119</v>
      </c>
      <c r="O23">
        <f t="shared" si="1"/>
        <v>43461.5</v>
      </c>
    </row>
    <row r="24" spans="1:15" x14ac:dyDescent="0.3">
      <c r="A24" t="s">
        <v>28</v>
      </c>
      <c r="C24" s="35">
        <v>3209.6</v>
      </c>
      <c r="D24" s="35">
        <v>3535</v>
      </c>
      <c r="E24" s="35">
        <v>4690</v>
      </c>
      <c r="F24" s="35">
        <v>0</v>
      </c>
      <c r="G24" s="35">
        <v>475</v>
      </c>
      <c r="H24" s="35">
        <v>0</v>
      </c>
      <c r="I24" s="35">
        <v>0</v>
      </c>
      <c r="J24" s="35">
        <v>881.9</v>
      </c>
      <c r="K24" s="35">
        <v>0</v>
      </c>
      <c r="L24" s="35">
        <v>0</v>
      </c>
      <c r="M24" s="35">
        <v>0</v>
      </c>
      <c r="N24" s="35">
        <v>0</v>
      </c>
      <c r="O24">
        <f t="shared" si="1"/>
        <v>12791.5</v>
      </c>
    </row>
    <row r="25" spans="1:15" x14ac:dyDescent="0.3">
      <c r="A25" t="s">
        <v>29</v>
      </c>
      <c r="C25" s="35">
        <v>1371</v>
      </c>
      <c r="D25" s="35">
        <v>1072</v>
      </c>
      <c r="E25" s="35">
        <v>1809</v>
      </c>
      <c r="F25" s="35">
        <v>4821</v>
      </c>
      <c r="G25" s="35">
        <v>232</v>
      </c>
      <c r="H25" s="35">
        <v>27</v>
      </c>
      <c r="I25" s="35">
        <v>494</v>
      </c>
      <c r="J25" s="35">
        <v>0</v>
      </c>
      <c r="K25" s="35">
        <v>0</v>
      </c>
      <c r="L25" s="35">
        <v>221</v>
      </c>
      <c r="M25" s="35">
        <v>4273</v>
      </c>
      <c r="N25" s="35">
        <v>91</v>
      </c>
      <c r="O25">
        <f t="shared" si="1"/>
        <v>14411</v>
      </c>
    </row>
    <row r="26" spans="1:15" x14ac:dyDescent="0.3">
      <c r="A26" t="s">
        <v>30</v>
      </c>
      <c r="C26" s="35">
        <v>7970</v>
      </c>
      <c r="D26" s="35">
        <v>33670</v>
      </c>
      <c r="E26" s="35">
        <v>20890</v>
      </c>
      <c r="F26" s="35">
        <v>0</v>
      </c>
      <c r="G26" s="35">
        <v>0</v>
      </c>
      <c r="H26" s="35">
        <v>0</v>
      </c>
      <c r="I26" s="35">
        <v>0</v>
      </c>
      <c r="J26" s="35">
        <v>1344</v>
      </c>
      <c r="K26" s="35">
        <v>42810</v>
      </c>
      <c r="L26" s="35">
        <v>39324</v>
      </c>
      <c r="M26" s="35">
        <v>1911</v>
      </c>
      <c r="N26" s="35">
        <v>0</v>
      </c>
      <c r="O26">
        <f t="shared" si="1"/>
        <v>147919</v>
      </c>
    </row>
    <row r="28" spans="1:15" x14ac:dyDescent="0.3">
      <c r="A28" s="31" t="s">
        <v>31</v>
      </c>
      <c r="C28">
        <f>SUM(C12:C27)</f>
        <v>1145656</v>
      </c>
      <c r="D28">
        <f t="shared" ref="D28:O28" si="2">SUM(D12:D27)</f>
        <v>2430955</v>
      </c>
      <c r="E28">
        <f t="shared" si="2"/>
        <v>3849366</v>
      </c>
      <c r="F28">
        <f t="shared" si="2"/>
        <v>4188271</v>
      </c>
      <c r="G28">
        <f t="shared" si="2"/>
        <v>3875950</v>
      </c>
      <c r="H28">
        <f t="shared" si="2"/>
        <v>3528056</v>
      </c>
      <c r="I28">
        <f t="shared" si="2"/>
        <v>2546111</v>
      </c>
      <c r="J28">
        <f t="shared" si="2"/>
        <v>1378427</v>
      </c>
      <c r="K28">
        <f t="shared" si="2"/>
        <v>839008</v>
      </c>
      <c r="L28">
        <f t="shared" si="2"/>
        <v>563335</v>
      </c>
      <c r="M28">
        <f t="shared" si="2"/>
        <v>520856</v>
      </c>
      <c r="N28">
        <f t="shared" si="2"/>
        <v>553633</v>
      </c>
      <c r="O28">
        <f t="shared" si="2"/>
        <v>25419624</v>
      </c>
    </row>
    <row r="29" spans="1:15" x14ac:dyDescent="0.3">
      <c r="A29" s="31"/>
    </row>
    <row r="30" spans="1:15" x14ac:dyDescent="0.3">
      <c r="A30" s="31"/>
    </row>
    <row r="32" spans="1:15" x14ac:dyDescent="0.3">
      <c r="A32" s="31"/>
    </row>
    <row r="33" spans="1:15" x14ac:dyDescent="0.3">
      <c r="A33" s="31" t="s">
        <v>8</v>
      </c>
      <c r="C33" s="36">
        <f>DATE(1997,10,15)</f>
        <v>35718</v>
      </c>
      <c r="D33" s="36">
        <f t="shared" ref="D33:N33" si="3">C33+30</f>
        <v>35748</v>
      </c>
      <c r="E33" s="36">
        <f t="shared" si="3"/>
        <v>35778</v>
      </c>
      <c r="F33" s="36">
        <f t="shared" si="3"/>
        <v>35808</v>
      </c>
      <c r="G33" s="36">
        <f t="shared" si="3"/>
        <v>35838</v>
      </c>
      <c r="H33" s="36">
        <f t="shared" si="3"/>
        <v>35868</v>
      </c>
      <c r="I33" s="36">
        <f t="shared" si="3"/>
        <v>35898</v>
      </c>
      <c r="J33" s="36">
        <f t="shared" si="3"/>
        <v>35928</v>
      </c>
      <c r="K33" s="36">
        <f t="shared" si="3"/>
        <v>35958</v>
      </c>
      <c r="L33" s="36">
        <f t="shared" si="3"/>
        <v>35988</v>
      </c>
      <c r="M33" s="36">
        <f t="shared" si="3"/>
        <v>36018</v>
      </c>
      <c r="N33" s="36">
        <f t="shared" si="3"/>
        <v>36048</v>
      </c>
      <c r="O33" s="32" t="s">
        <v>14</v>
      </c>
    </row>
    <row r="34" spans="1:15" x14ac:dyDescent="0.3">
      <c r="A34" s="37"/>
      <c r="C34" s="38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</row>
    <row r="35" spans="1:15" x14ac:dyDescent="0.3">
      <c r="A35" s="37" t="s">
        <v>15</v>
      </c>
      <c r="C35" s="41">
        <v>205.1</v>
      </c>
      <c r="D35" s="41">
        <v>1294.4000000000001</v>
      </c>
      <c r="E35" s="41">
        <v>2731.1</v>
      </c>
      <c r="F35" s="41">
        <v>4054.6</v>
      </c>
      <c r="G35" s="41">
        <v>3667.1</v>
      </c>
      <c r="H35" s="41">
        <v>2966.8</v>
      </c>
      <c r="I35" s="41">
        <v>3071.9</v>
      </c>
      <c r="J35" s="41">
        <v>1482.8</v>
      </c>
      <c r="K35" s="41">
        <v>472.8</v>
      </c>
      <c r="L35" s="41">
        <v>352.7</v>
      </c>
      <c r="M35" s="41">
        <v>158.80000000000001</v>
      </c>
      <c r="N35" s="41">
        <v>166.9</v>
      </c>
      <c r="O35" s="42">
        <f>SUM(C35:N35)</f>
        <v>20625.000000000004</v>
      </c>
    </row>
    <row r="36" spans="1:15" x14ac:dyDescent="0.3">
      <c r="A36" s="37" t="s">
        <v>32</v>
      </c>
      <c r="C36" s="41">
        <v>9.8000000000000007</v>
      </c>
      <c r="D36" s="41">
        <v>31.5</v>
      </c>
      <c r="E36" s="41">
        <v>68.8</v>
      </c>
      <c r="F36" s="41">
        <v>60.2</v>
      </c>
      <c r="G36" s="41">
        <v>52.8</v>
      </c>
      <c r="H36" s="41">
        <v>41.8</v>
      </c>
      <c r="I36" s="41">
        <v>37.9</v>
      </c>
      <c r="J36" s="41">
        <v>31.6</v>
      </c>
      <c r="K36" s="41">
        <v>2.8</v>
      </c>
      <c r="L36" s="41">
        <v>2.1</v>
      </c>
      <c r="M36" s="41">
        <v>3.9</v>
      </c>
      <c r="N36" s="41">
        <v>19.399999999999999</v>
      </c>
      <c r="O36" s="42">
        <f t="shared" ref="O36:O51" si="4">SUM(C36:N36)</f>
        <v>362.6</v>
      </c>
    </row>
    <row r="37" spans="1:15" x14ac:dyDescent="0.3">
      <c r="A37" s="37" t="s">
        <v>33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21.1</v>
      </c>
      <c r="O37" s="42">
        <f t="shared" si="4"/>
        <v>21.1</v>
      </c>
    </row>
    <row r="38" spans="1:15" x14ac:dyDescent="0.3">
      <c r="A38" s="37" t="s">
        <v>34</v>
      </c>
      <c r="C38" s="41">
        <v>880.7</v>
      </c>
      <c r="D38" s="41">
        <v>1161</v>
      </c>
      <c r="E38" s="41">
        <v>1379.7</v>
      </c>
      <c r="F38" s="41">
        <v>1853.6</v>
      </c>
      <c r="G38" s="41">
        <v>1652.3</v>
      </c>
      <c r="H38" s="41">
        <v>1443.8</v>
      </c>
      <c r="I38" s="41">
        <v>1733</v>
      </c>
      <c r="J38" s="41">
        <v>1424</v>
      </c>
      <c r="K38" s="41">
        <v>1138.0999999999999</v>
      </c>
      <c r="L38" s="41">
        <v>1133.2</v>
      </c>
      <c r="M38" s="41">
        <v>1461.2</v>
      </c>
      <c r="N38" s="41">
        <v>1111.9000000000001</v>
      </c>
      <c r="O38" s="42">
        <f t="shared" si="4"/>
        <v>16372.500000000002</v>
      </c>
    </row>
    <row r="39" spans="1:15" x14ac:dyDescent="0.3">
      <c r="A39" s="37" t="s">
        <v>35</v>
      </c>
      <c r="C39" s="41">
        <v>158.69999999999999</v>
      </c>
      <c r="D39" s="41">
        <v>208</v>
      </c>
      <c r="E39" s="41">
        <v>568.20000000000005</v>
      </c>
      <c r="F39" s="41">
        <v>461.6</v>
      </c>
      <c r="G39" s="41">
        <v>682.9</v>
      </c>
      <c r="H39" s="41">
        <v>529.79999999999995</v>
      </c>
      <c r="I39" s="41">
        <v>745.6</v>
      </c>
      <c r="J39" s="41">
        <v>332.7</v>
      </c>
      <c r="K39" s="41">
        <v>169.6</v>
      </c>
      <c r="L39" s="41">
        <v>92.9</v>
      </c>
      <c r="M39" s="41">
        <v>84.7</v>
      </c>
      <c r="N39" s="41">
        <v>34.6</v>
      </c>
      <c r="O39" s="42">
        <f t="shared" si="4"/>
        <v>4069.2999999999993</v>
      </c>
    </row>
    <row r="40" spans="1:15" x14ac:dyDescent="0.3">
      <c r="A40" s="37" t="s">
        <v>36</v>
      </c>
      <c r="C40" s="41">
        <v>124932.3</v>
      </c>
      <c r="D40" s="41">
        <v>203651</v>
      </c>
      <c r="E40" s="41">
        <v>378317.1</v>
      </c>
      <c r="F40" s="41">
        <v>492777.7</v>
      </c>
      <c r="G40" s="41">
        <v>458127.1</v>
      </c>
      <c r="H40" s="41">
        <v>385058.8</v>
      </c>
      <c r="I40" s="41">
        <v>386688.7</v>
      </c>
      <c r="J40" s="41">
        <v>279638.59999999998</v>
      </c>
      <c r="K40" s="41">
        <v>160131.1</v>
      </c>
      <c r="L40" s="41">
        <v>127184.7</v>
      </c>
      <c r="M40" s="41">
        <v>114189.9</v>
      </c>
      <c r="N40" s="41">
        <v>121363.5</v>
      </c>
      <c r="O40" s="42">
        <f t="shared" si="4"/>
        <v>3232060.5</v>
      </c>
    </row>
    <row r="41" spans="1:15" x14ac:dyDescent="0.3">
      <c r="A41" s="37" t="s">
        <v>37</v>
      </c>
      <c r="C41" s="41">
        <v>8104</v>
      </c>
      <c r="D41" s="41">
        <v>22841.7</v>
      </c>
      <c r="E41" s="41">
        <v>48737.4</v>
      </c>
      <c r="F41" s="41">
        <v>61062.9</v>
      </c>
      <c r="G41" s="41">
        <v>79544.7</v>
      </c>
      <c r="H41" s="41">
        <v>71591.7</v>
      </c>
      <c r="I41" s="41">
        <v>76975</v>
      </c>
      <c r="J41" s="41">
        <v>24627.8</v>
      </c>
      <c r="K41" s="41">
        <v>13936.9</v>
      </c>
      <c r="L41" s="41">
        <v>11170.4</v>
      </c>
      <c r="M41" s="41">
        <v>12089</v>
      </c>
      <c r="N41" s="41">
        <v>5855</v>
      </c>
      <c r="O41" s="42">
        <f t="shared" si="4"/>
        <v>436536.50000000006</v>
      </c>
    </row>
    <row r="42" spans="1:15" x14ac:dyDescent="0.3">
      <c r="A42" s="37" t="s">
        <v>38</v>
      </c>
      <c r="C42" s="41">
        <v>2750.7</v>
      </c>
      <c r="D42" s="41">
        <v>1370.9</v>
      </c>
      <c r="E42" s="41">
        <v>325.3</v>
      </c>
      <c r="F42" s="41">
        <v>10</v>
      </c>
      <c r="G42" s="41">
        <v>0</v>
      </c>
      <c r="H42" s="41">
        <v>0</v>
      </c>
      <c r="I42" s="41">
        <v>0</v>
      </c>
      <c r="J42" s="41">
        <v>183.1</v>
      </c>
      <c r="K42" s="41">
        <v>881.9</v>
      </c>
      <c r="L42" s="41">
        <v>1902.8</v>
      </c>
      <c r="M42" s="41">
        <v>2883</v>
      </c>
      <c r="N42" s="41">
        <v>3057.1</v>
      </c>
      <c r="O42" s="42">
        <f t="shared" si="4"/>
        <v>13364.800000000001</v>
      </c>
    </row>
    <row r="43" spans="1:15" x14ac:dyDescent="0.3">
      <c r="A43" s="37" t="s">
        <v>64</v>
      </c>
      <c r="C43" s="41">
        <v>75.5</v>
      </c>
      <c r="D43" s="41">
        <v>402.3</v>
      </c>
      <c r="E43" s="41">
        <v>1058.4000000000001</v>
      </c>
      <c r="F43" s="41">
        <v>1312.4</v>
      </c>
      <c r="G43" s="41">
        <v>1540.2</v>
      </c>
      <c r="H43" s="41">
        <v>1178.8</v>
      </c>
      <c r="I43" s="41">
        <v>1293.5999999999999</v>
      </c>
      <c r="J43" s="41">
        <v>714.7</v>
      </c>
      <c r="K43" s="41">
        <v>268.5</v>
      </c>
      <c r="L43" s="41">
        <v>280.8</v>
      </c>
      <c r="M43" s="41">
        <v>239.8</v>
      </c>
      <c r="N43" s="41">
        <v>300.2</v>
      </c>
      <c r="O43" s="42">
        <f t="shared" si="4"/>
        <v>8665.2000000000007</v>
      </c>
    </row>
    <row r="44" spans="1:15" x14ac:dyDescent="0.3">
      <c r="A44" s="37" t="s">
        <v>40</v>
      </c>
      <c r="C44" s="41">
        <v>165360.20000000001</v>
      </c>
      <c r="D44" s="41">
        <v>216232.8</v>
      </c>
      <c r="E44" s="41">
        <v>263680.59999999998</v>
      </c>
      <c r="F44" s="41">
        <v>320096.8</v>
      </c>
      <c r="G44" s="41">
        <v>347375.1</v>
      </c>
      <c r="H44" s="41">
        <v>286258.40000000002</v>
      </c>
      <c r="I44" s="41">
        <v>277276.40000000002</v>
      </c>
      <c r="J44" s="41">
        <v>206728.1</v>
      </c>
      <c r="K44" s="41">
        <v>159066.20000000001</v>
      </c>
      <c r="L44" s="41">
        <v>156152.4</v>
      </c>
      <c r="M44" s="41">
        <v>143997.5</v>
      </c>
      <c r="N44" s="41">
        <v>152136.6</v>
      </c>
      <c r="O44" s="42">
        <f t="shared" si="4"/>
        <v>2694361.1</v>
      </c>
    </row>
    <row r="45" spans="1:15" x14ac:dyDescent="0.3">
      <c r="A45" s="37" t="s">
        <v>41</v>
      </c>
      <c r="C45" s="41">
        <v>6305.2</v>
      </c>
      <c r="D45" s="41">
        <v>11005.4</v>
      </c>
      <c r="E45" s="41">
        <v>50131.8</v>
      </c>
      <c r="F45" s="41">
        <v>41651.699999999997</v>
      </c>
      <c r="G45" s="41">
        <v>31796.5</v>
      </c>
      <c r="H45" s="41">
        <v>46098.3</v>
      </c>
      <c r="I45" s="41">
        <v>40430.400000000001</v>
      </c>
      <c r="J45" s="41">
        <v>13768.7</v>
      </c>
      <c r="K45" s="41">
        <v>5424.1</v>
      </c>
      <c r="L45" s="41">
        <v>4491</v>
      </c>
      <c r="M45" s="41">
        <v>3675</v>
      </c>
      <c r="N45" s="41">
        <v>2469.6999999999998</v>
      </c>
      <c r="O45" s="42">
        <f t="shared" si="4"/>
        <v>257247.8</v>
      </c>
    </row>
    <row r="46" spans="1:15" x14ac:dyDescent="0.3">
      <c r="A46" s="37" t="s">
        <v>26</v>
      </c>
      <c r="C46" s="41">
        <v>23405.8</v>
      </c>
      <c r="D46" s="41">
        <v>18951.900000000001</v>
      </c>
      <c r="E46" s="41">
        <v>8676.9</v>
      </c>
      <c r="F46" s="41">
        <v>0</v>
      </c>
      <c r="G46" s="41">
        <v>0</v>
      </c>
      <c r="H46" s="41">
        <v>0</v>
      </c>
      <c r="I46" s="41">
        <v>0</v>
      </c>
      <c r="J46" s="41">
        <v>12789.1</v>
      </c>
      <c r="K46" s="41">
        <v>23818</v>
      </c>
      <c r="L46" s="41">
        <v>27945</v>
      </c>
      <c r="M46" s="41">
        <v>28983</v>
      </c>
      <c r="N46" s="41">
        <v>25043</v>
      </c>
      <c r="O46" s="42">
        <f t="shared" si="4"/>
        <v>169612.7</v>
      </c>
    </row>
    <row r="47" spans="1:15" x14ac:dyDescent="0.3">
      <c r="A47" s="37" t="s">
        <v>42</v>
      </c>
      <c r="C47" s="41">
        <v>195850.1</v>
      </c>
      <c r="D47" s="41">
        <v>264050.09999999998</v>
      </c>
      <c r="E47" s="41">
        <v>313676.79999999999</v>
      </c>
      <c r="F47" s="41">
        <v>346761.4</v>
      </c>
      <c r="G47" s="41">
        <v>366684.2</v>
      </c>
      <c r="H47" s="41">
        <v>365960.7</v>
      </c>
      <c r="I47" s="41">
        <v>378679.8</v>
      </c>
      <c r="J47" s="41">
        <v>269258</v>
      </c>
      <c r="K47" s="41">
        <v>221112.4</v>
      </c>
      <c r="L47" s="41">
        <v>219988.1</v>
      </c>
      <c r="M47" s="41">
        <v>164212.29999999999</v>
      </c>
      <c r="N47" s="41">
        <v>172628.5</v>
      </c>
      <c r="O47" s="42">
        <f t="shared" si="4"/>
        <v>3278862.3999999994</v>
      </c>
    </row>
    <row r="48" spans="1:15" x14ac:dyDescent="0.3">
      <c r="A48" s="37" t="s">
        <v>43</v>
      </c>
      <c r="C48" s="41">
        <v>19816.8</v>
      </c>
      <c r="D48" s="41">
        <v>15298</v>
      </c>
      <c r="E48" s="41">
        <v>21809.1</v>
      </c>
      <c r="F48" s="41">
        <v>20895.2</v>
      </c>
      <c r="G48" s="41">
        <v>31862.1</v>
      </c>
      <c r="H48" s="41">
        <v>14235.1</v>
      </c>
      <c r="I48" s="41">
        <v>15578.4</v>
      </c>
      <c r="J48" s="41">
        <v>13364.8</v>
      </c>
      <c r="K48" s="41">
        <v>4165.8</v>
      </c>
      <c r="L48" s="41">
        <v>547.9</v>
      </c>
      <c r="M48" s="41">
        <v>10025.9</v>
      </c>
      <c r="N48" s="41">
        <v>2320.4</v>
      </c>
      <c r="O48" s="42">
        <f t="shared" si="4"/>
        <v>169919.49999999997</v>
      </c>
    </row>
    <row r="49" spans="1:15" x14ac:dyDescent="0.3">
      <c r="A49" s="37" t="s">
        <v>44</v>
      </c>
      <c r="C49" s="41">
        <v>35882.1</v>
      </c>
      <c r="D49" s="41">
        <v>36600</v>
      </c>
      <c r="E49" s="41">
        <v>58354</v>
      </c>
      <c r="F49" s="41">
        <v>61294.6</v>
      </c>
      <c r="G49" s="41">
        <v>68735.399999999994</v>
      </c>
      <c r="H49" s="41">
        <v>60787.1</v>
      </c>
      <c r="I49" s="41">
        <v>63431.1</v>
      </c>
      <c r="J49" s="41">
        <v>66293.2</v>
      </c>
      <c r="K49" s="41">
        <v>59545.2</v>
      </c>
      <c r="L49" s="41">
        <v>66348.2</v>
      </c>
      <c r="M49" s="41">
        <v>59710.400000000001</v>
      </c>
      <c r="N49" s="41">
        <v>76660.3</v>
      </c>
      <c r="O49" s="42">
        <f t="shared" si="4"/>
        <v>713641.60000000009</v>
      </c>
    </row>
    <row r="50" spans="1:15" x14ac:dyDescent="0.3">
      <c r="A50" s="37" t="s">
        <v>45</v>
      </c>
      <c r="C50" s="41">
        <v>18149.3</v>
      </c>
      <c r="D50" s="41">
        <v>23725.8</v>
      </c>
      <c r="E50" s="41">
        <v>1510.4</v>
      </c>
      <c r="F50" s="41">
        <v>0</v>
      </c>
      <c r="G50" s="41">
        <v>0</v>
      </c>
      <c r="H50" s="41">
        <v>0</v>
      </c>
      <c r="I50" s="41">
        <v>1069.5999999999999</v>
      </c>
      <c r="J50" s="41">
        <v>0</v>
      </c>
      <c r="K50" s="41">
        <v>4855</v>
      </c>
      <c r="L50" s="41">
        <v>2262.4</v>
      </c>
      <c r="M50" s="41">
        <v>0</v>
      </c>
      <c r="N50" s="41">
        <v>120.9</v>
      </c>
      <c r="O50" s="42">
        <f t="shared" si="4"/>
        <v>51693.4</v>
      </c>
    </row>
    <row r="51" spans="1:15" x14ac:dyDescent="0.3">
      <c r="A51" s="37" t="s">
        <v>28</v>
      </c>
      <c r="C51" s="41">
        <v>1536.4</v>
      </c>
      <c r="D51" s="41">
        <v>3357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4201.5</v>
      </c>
      <c r="K51" s="41">
        <v>7808.7</v>
      </c>
      <c r="L51" s="41">
        <v>6194.5</v>
      </c>
      <c r="M51" s="41">
        <v>8550.7000000000007</v>
      </c>
      <c r="N51" s="41">
        <v>8452.9</v>
      </c>
      <c r="O51" s="42">
        <f t="shared" si="4"/>
        <v>40101.699999999997</v>
      </c>
    </row>
    <row r="52" spans="1:15" x14ac:dyDescent="0.3">
      <c r="A52" s="37" t="s">
        <v>46</v>
      </c>
      <c r="C52" s="41">
        <v>66302</v>
      </c>
      <c r="D52" s="41">
        <v>97433.1</v>
      </c>
      <c r="E52" s="41">
        <v>59215.3</v>
      </c>
      <c r="F52" s="41">
        <v>64183.5</v>
      </c>
      <c r="G52" s="41">
        <v>92602.6</v>
      </c>
      <c r="H52" s="41">
        <v>75771.5</v>
      </c>
      <c r="I52" s="41">
        <v>63009.8</v>
      </c>
      <c r="J52" s="41">
        <v>67739.8</v>
      </c>
      <c r="K52" s="41">
        <v>49774.5</v>
      </c>
      <c r="L52" s="41">
        <v>42402.7</v>
      </c>
      <c r="M52" s="41">
        <v>44166.9</v>
      </c>
      <c r="N52" s="41">
        <v>63429</v>
      </c>
      <c r="O52" s="42">
        <f>SUM(C52:N52)</f>
        <v>786030.7</v>
      </c>
    </row>
    <row r="53" spans="1:15" x14ac:dyDescent="0.3">
      <c r="A53" s="37" t="s">
        <v>47</v>
      </c>
      <c r="C53" s="41">
        <v>2814.8</v>
      </c>
      <c r="D53" s="41">
        <v>0</v>
      </c>
      <c r="E53" s="41">
        <v>8975.9</v>
      </c>
      <c r="F53" s="41">
        <v>10820.6</v>
      </c>
      <c r="G53" s="41">
        <v>16584.8</v>
      </c>
      <c r="H53" s="41">
        <v>9499.4</v>
      </c>
      <c r="I53" s="41">
        <v>6273.1</v>
      </c>
      <c r="J53" s="41">
        <v>4682.8999999999996</v>
      </c>
      <c r="K53" s="41">
        <v>0</v>
      </c>
      <c r="L53" s="41">
        <v>0</v>
      </c>
      <c r="M53" s="41">
        <v>0</v>
      </c>
      <c r="N53" s="41">
        <v>0</v>
      </c>
      <c r="O53" s="42">
        <f>SUM(C53:N53)</f>
        <v>59651.500000000007</v>
      </c>
    </row>
    <row r="54" spans="1:15" x14ac:dyDescent="0.3">
      <c r="A54" s="37" t="s">
        <v>48</v>
      </c>
      <c r="C54" s="41">
        <v>613831.19999999995</v>
      </c>
      <c r="D54" s="41">
        <v>703920.5</v>
      </c>
      <c r="E54" s="41">
        <v>640973.80000000005</v>
      </c>
      <c r="F54" s="41">
        <v>676747.7</v>
      </c>
      <c r="G54" s="41">
        <v>694099.7</v>
      </c>
      <c r="H54" s="41">
        <v>573400.1</v>
      </c>
      <c r="I54" s="41">
        <v>603170.69999999995</v>
      </c>
      <c r="J54" s="41">
        <v>529598.9</v>
      </c>
      <c r="K54" s="41">
        <v>460046.7</v>
      </c>
      <c r="L54" s="41">
        <v>466546.4</v>
      </c>
      <c r="M54" s="41">
        <v>501982.1</v>
      </c>
      <c r="N54" s="41">
        <v>579978.6</v>
      </c>
      <c r="O54" s="42">
        <f>SUM(C54:N54)</f>
        <v>7044296.4000000004</v>
      </c>
    </row>
    <row r="55" spans="1:15" x14ac:dyDescent="0.3">
      <c r="A55" s="37" t="s">
        <v>49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f>SUM(C55:N55)</f>
        <v>0</v>
      </c>
    </row>
    <row r="56" spans="1:15" x14ac:dyDescent="0.3">
      <c r="A56" s="37" t="s">
        <v>30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f>SUM(C56:N56)</f>
        <v>0</v>
      </c>
    </row>
    <row r="57" spans="1:15" x14ac:dyDescent="0.3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1:15" x14ac:dyDescent="0.3">
      <c r="A58" s="31" t="s">
        <v>50</v>
      </c>
      <c r="C58" s="42">
        <f>SUM(C35:C57)</f>
        <v>1286370.7000000002</v>
      </c>
      <c r="D58" s="42">
        <f t="shared" ref="D58:O58" si="5">SUM(D35:D57)</f>
        <v>1621535.4</v>
      </c>
      <c r="E58" s="42">
        <f t="shared" si="5"/>
        <v>1860190.6</v>
      </c>
      <c r="F58" s="42">
        <f t="shared" si="5"/>
        <v>2104044.5</v>
      </c>
      <c r="G58" s="42">
        <f t="shared" si="5"/>
        <v>2195007.5</v>
      </c>
      <c r="H58" s="42">
        <f t="shared" si="5"/>
        <v>1894822.1</v>
      </c>
      <c r="I58" s="42">
        <f t="shared" si="5"/>
        <v>1919465.0000000002</v>
      </c>
      <c r="J58" s="42">
        <f t="shared" si="5"/>
        <v>1496860.2999999998</v>
      </c>
      <c r="K58" s="42">
        <f t="shared" si="5"/>
        <v>1172618.3</v>
      </c>
      <c r="L58" s="42">
        <f t="shared" si="5"/>
        <v>1134998.2</v>
      </c>
      <c r="M58" s="42">
        <f t="shared" si="5"/>
        <v>1096414.1000000001</v>
      </c>
      <c r="N58" s="42">
        <f t="shared" si="5"/>
        <v>1215169.6000000001</v>
      </c>
      <c r="O58" s="42">
        <f t="shared" si="5"/>
        <v>18997496.299999997</v>
      </c>
    </row>
    <row r="59" spans="1:15" x14ac:dyDescent="0.3">
      <c r="A59" s="31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3">
      <c r="A60" s="31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3">
      <c r="D61" s="1"/>
      <c r="E61" s="17"/>
      <c r="G61" s="3"/>
    </row>
    <row r="63" spans="1:15" x14ac:dyDescent="0.3">
      <c r="A63" s="31" t="s">
        <v>10</v>
      </c>
      <c r="C63" s="36">
        <f>DATE(1997,10,15)</f>
        <v>35718</v>
      </c>
      <c r="D63" s="36">
        <f t="shared" ref="D63:N63" si="6">C63+30</f>
        <v>35748</v>
      </c>
      <c r="E63" s="36">
        <f t="shared" si="6"/>
        <v>35778</v>
      </c>
      <c r="F63" s="36">
        <f t="shared" si="6"/>
        <v>35808</v>
      </c>
      <c r="G63" s="36">
        <f t="shared" si="6"/>
        <v>35838</v>
      </c>
      <c r="H63" s="36">
        <f t="shared" si="6"/>
        <v>35868</v>
      </c>
      <c r="I63" s="36">
        <f t="shared" si="6"/>
        <v>35898</v>
      </c>
      <c r="J63" s="36">
        <f t="shared" si="6"/>
        <v>35928</v>
      </c>
      <c r="K63" s="36">
        <f t="shared" si="6"/>
        <v>35958</v>
      </c>
      <c r="L63" s="36">
        <f t="shared" si="6"/>
        <v>35988</v>
      </c>
      <c r="M63" s="36">
        <f t="shared" si="6"/>
        <v>36018</v>
      </c>
      <c r="N63" s="36">
        <f t="shared" si="6"/>
        <v>36048</v>
      </c>
      <c r="O63" s="32" t="s">
        <v>14</v>
      </c>
    </row>
    <row r="64" spans="1:15" x14ac:dyDescent="0.3">
      <c r="A64" s="37"/>
      <c r="C64" s="38"/>
      <c r="D64" s="38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</row>
    <row r="65" spans="1:15" x14ac:dyDescent="0.3">
      <c r="A65" s="37" t="s">
        <v>15</v>
      </c>
      <c r="C65" s="41">
        <v>100466.9</v>
      </c>
      <c r="D65" s="41">
        <v>265992.5</v>
      </c>
      <c r="E65" s="41">
        <v>333645.90000000002</v>
      </c>
      <c r="F65" s="41">
        <v>326972.09999999998</v>
      </c>
      <c r="G65" s="41">
        <v>278126.90000000002</v>
      </c>
      <c r="H65" s="41">
        <v>261107.1</v>
      </c>
      <c r="I65" s="41">
        <v>166820.9</v>
      </c>
      <c r="J65" s="41">
        <v>62931.3</v>
      </c>
      <c r="K65" s="41">
        <v>62380</v>
      </c>
      <c r="L65" s="41">
        <v>41591.699999999997</v>
      </c>
      <c r="M65" s="41">
        <v>43580.4</v>
      </c>
      <c r="N65" s="41">
        <v>48150.7</v>
      </c>
      <c r="O65" s="43">
        <f>SUM(C65:N65)</f>
        <v>1991766.4</v>
      </c>
    </row>
    <row r="66" spans="1:15" x14ac:dyDescent="0.3">
      <c r="A66" s="37" t="s">
        <v>57</v>
      </c>
      <c r="C66" s="41">
        <v>3923.8</v>
      </c>
      <c r="D66" s="41">
        <v>10800.5</v>
      </c>
      <c r="E66" s="41">
        <v>15040.3</v>
      </c>
      <c r="F66" s="41">
        <v>15174.3</v>
      </c>
      <c r="G66" s="41">
        <v>12609.7</v>
      </c>
      <c r="H66" s="41">
        <v>10912.1</v>
      </c>
      <c r="I66" s="41">
        <v>6221.9</v>
      </c>
      <c r="J66" s="41">
        <v>2094.1999999999998</v>
      </c>
      <c r="K66" s="41">
        <v>2361.6</v>
      </c>
      <c r="L66" s="41">
        <v>1714.4</v>
      </c>
      <c r="M66" s="41">
        <v>1899.3</v>
      </c>
      <c r="N66" s="41">
        <v>2205.6999999999998</v>
      </c>
      <c r="O66" s="43">
        <f t="shared" ref="O66:O72" si="7">SUM(C66:N66)</f>
        <v>84957.799999999988</v>
      </c>
    </row>
    <row r="67" spans="1:15" x14ac:dyDescent="0.3">
      <c r="A67" s="37" t="s">
        <v>58</v>
      </c>
      <c r="C67" s="41">
        <v>8040.9</v>
      </c>
      <c r="D67" s="41">
        <v>20502.8</v>
      </c>
      <c r="E67" s="41">
        <v>25999.3</v>
      </c>
      <c r="F67" s="41">
        <v>25930.1</v>
      </c>
      <c r="G67" s="41">
        <v>21076.799999999999</v>
      </c>
      <c r="H67" s="41">
        <v>19259.099999999999</v>
      </c>
      <c r="I67" s="41">
        <v>11685.3</v>
      </c>
      <c r="J67" s="41">
        <v>4843.3</v>
      </c>
      <c r="K67" s="41">
        <v>5092.3</v>
      </c>
      <c r="L67" s="41">
        <v>3632.7</v>
      </c>
      <c r="M67" s="41">
        <v>3667.8</v>
      </c>
      <c r="N67" s="41">
        <v>4032.9</v>
      </c>
      <c r="O67" s="43">
        <f t="shared" si="7"/>
        <v>153763.29999999996</v>
      </c>
    </row>
    <row r="68" spans="1:15" x14ac:dyDescent="0.3">
      <c r="A68" s="37" t="s">
        <v>59</v>
      </c>
      <c r="C68" s="41">
        <v>14676.8</v>
      </c>
      <c r="D68" s="41">
        <v>33225</v>
      </c>
      <c r="E68" s="41">
        <v>37047.4</v>
      </c>
      <c r="F68" s="41">
        <v>35421.699999999997</v>
      </c>
      <c r="G68" s="41">
        <v>30482.6</v>
      </c>
      <c r="H68" s="41">
        <v>23528.6</v>
      </c>
      <c r="I68" s="41">
        <v>15055.2</v>
      </c>
      <c r="J68" s="41">
        <v>8022.4</v>
      </c>
      <c r="K68" s="41">
        <v>8192.5</v>
      </c>
      <c r="L68" s="41">
        <v>5707.5</v>
      </c>
      <c r="M68" s="41">
        <v>5610.9</v>
      </c>
      <c r="N68" s="41">
        <v>6983.1</v>
      </c>
      <c r="O68" s="43">
        <f t="shared" si="7"/>
        <v>223953.7</v>
      </c>
    </row>
    <row r="69" spans="1:15" x14ac:dyDescent="0.3">
      <c r="A69" s="37" t="s">
        <v>39</v>
      </c>
      <c r="C69" s="41">
        <v>31.8</v>
      </c>
      <c r="D69" s="41">
        <v>181.2</v>
      </c>
      <c r="E69" s="41">
        <v>194.1</v>
      </c>
      <c r="F69" s="41">
        <v>211.4</v>
      </c>
      <c r="G69" s="41">
        <v>158.6</v>
      </c>
      <c r="H69" s="41">
        <v>121</v>
      </c>
      <c r="I69" s="41">
        <v>86.2</v>
      </c>
      <c r="J69" s="41">
        <v>8.9</v>
      </c>
      <c r="K69" s="41">
        <v>9.6999999999999993</v>
      </c>
      <c r="L69" s="41">
        <v>6</v>
      </c>
      <c r="M69" s="41">
        <v>6.1</v>
      </c>
      <c r="N69" s="41">
        <v>5.0999999999999996</v>
      </c>
      <c r="O69" s="43">
        <f t="shared" si="7"/>
        <v>1020.1000000000001</v>
      </c>
    </row>
    <row r="70" spans="1:15" x14ac:dyDescent="0.3">
      <c r="A70" s="37" t="s">
        <v>60</v>
      </c>
      <c r="C70" s="41">
        <v>453.6</v>
      </c>
      <c r="D70" s="41">
        <v>1201.0999999999999</v>
      </c>
      <c r="E70" s="41">
        <v>3309</v>
      </c>
      <c r="F70" s="41">
        <v>1621.9</v>
      </c>
      <c r="G70" s="41">
        <v>2366.6999999999998</v>
      </c>
      <c r="H70" s="41">
        <v>1661</v>
      </c>
      <c r="I70" s="41">
        <v>885.1</v>
      </c>
      <c r="J70" s="41">
        <v>57.4</v>
      </c>
      <c r="K70" s="41">
        <v>261.89999999999998</v>
      </c>
      <c r="L70" s="41">
        <v>182.8</v>
      </c>
      <c r="M70" s="41">
        <v>67.5</v>
      </c>
      <c r="N70" s="41">
        <v>128.4</v>
      </c>
      <c r="O70" s="43">
        <f t="shared" si="7"/>
        <v>12196.399999999998</v>
      </c>
    </row>
    <row r="71" spans="1:15" x14ac:dyDescent="0.3">
      <c r="A71" s="37" t="s">
        <v>61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3">
        <f t="shared" si="7"/>
        <v>0</v>
      </c>
    </row>
    <row r="72" spans="1:15" x14ac:dyDescent="0.3">
      <c r="A72" s="37" t="s">
        <v>62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3">
        <f t="shared" si="7"/>
        <v>0</v>
      </c>
    </row>
    <row r="73" spans="1:15" x14ac:dyDescent="0.3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1:15" x14ac:dyDescent="0.3">
      <c r="A74" s="31" t="s">
        <v>11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 x14ac:dyDescent="0.3">
      <c r="A75" s="31" t="s">
        <v>12</v>
      </c>
      <c r="C75" s="42">
        <f>SUM(C65:C74)</f>
        <v>127593.8</v>
      </c>
      <c r="D75" s="42">
        <f t="shared" ref="D75:O75" si="8">SUM(D65:D74)</f>
        <v>331903.09999999998</v>
      </c>
      <c r="E75" s="42">
        <f t="shared" si="8"/>
        <v>415236</v>
      </c>
      <c r="F75" s="42">
        <f t="shared" si="8"/>
        <v>405331.5</v>
      </c>
      <c r="G75" s="42">
        <f t="shared" si="8"/>
        <v>344821.3</v>
      </c>
      <c r="H75" s="42">
        <f t="shared" si="8"/>
        <v>316588.89999999997</v>
      </c>
      <c r="I75" s="42">
        <f t="shared" si="8"/>
        <v>200754.6</v>
      </c>
      <c r="J75" s="42">
        <f t="shared" si="8"/>
        <v>77957.499999999985</v>
      </c>
      <c r="K75" s="42">
        <f t="shared" si="8"/>
        <v>78297.999999999985</v>
      </c>
      <c r="L75" s="42">
        <f t="shared" si="8"/>
        <v>52835.1</v>
      </c>
      <c r="M75" s="42">
        <f t="shared" si="8"/>
        <v>54832.000000000007</v>
      </c>
      <c r="N75" s="42">
        <f t="shared" si="8"/>
        <v>61505.899999999994</v>
      </c>
      <c r="O75" s="42">
        <f t="shared" si="8"/>
        <v>2467657.7000000002</v>
      </c>
    </row>
    <row r="77" spans="1:15" x14ac:dyDescent="0.3">
      <c r="D77" s="49"/>
    </row>
    <row r="78" spans="1:15" x14ac:dyDescent="0.3">
      <c r="A78" s="31" t="s">
        <v>63</v>
      </c>
      <c r="C78">
        <f t="shared" ref="C78:O78" si="9">C28+C58+C75</f>
        <v>2559620.5</v>
      </c>
      <c r="D78">
        <f t="shared" si="9"/>
        <v>4384393.5</v>
      </c>
      <c r="E78">
        <f t="shared" si="9"/>
        <v>6124792.5999999996</v>
      </c>
      <c r="F78">
        <f t="shared" si="9"/>
        <v>6697647</v>
      </c>
      <c r="G78">
        <f t="shared" si="9"/>
        <v>6415778.7999999998</v>
      </c>
      <c r="H78">
        <f t="shared" si="9"/>
        <v>5739467</v>
      </c>
      <c r="I78">
        <f t="shared" si="9"/>
        <v>4666330.5999999996</v>
      </c>
      <c r="J78">
        <f t="shared" si="9"/>
        <v>2953244.8</v>
      </c>
      <c r="K78">
        <f t="shared" si="9"/>
        <v>2089924.3</v>
      </c>
      <c r="L78">
        <f t="shared" si="9"/>
        <v>1751168.3</v>
      </c>
      <c r="M78">
        <f t="shared" si="9"/>
        <v>1672102.1</v>
      </c>
      <c r="N78">
        <f t="shared" si="9"/>
        <v>1830308.5</v>
      </c>
      <c r="O78">
        <f t="shared" si="9"/>
        <v>46884778</v>
      </c>
    </row>
  </sheetData>
  <printOptions horizontalCentered="1"/>
  <pageMargins left="0.75" right="0.75" top="1" bottom="0.5" header="0.5" footer="0.5"/>
  <pageSetup scale="50" orientation="landscape" r:id="rId1"/>
  <headerFooter alignWithMargins="0"/>
  <rowBreaks count="1" manualBreakCount="1">
    <brk id="60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zoomScale="75" workbookViewId="0"/>
  </sheetViews>
  <sheetFormatPr defaultColWidth="12.81640625" defaultRowHeight="15.6" x14ac:dyDescent="0.3"/>
  <cols>
    <col min="1" max="1" width="28.54296875" customWidth="1"/>
    <col min="2" max="2" width="14" customWidth="1"/>
    <col min="3" max="3" width="10.81640625" customWidth="1"/>
    <col min="4" max="4" width="12.6328125" customWidth="1"/>
    <col min="5" max="5" width="7.81640625" customWidth="1"/>
    <col min="6" max="6" width="15.81640625" customWidth="1"/>
    <col min="7" max="7" width="12" customWidth="1"/>
    <col min="8" max="8" width="13.08984375" customWidth="1"/>
    <col min="9" max="9" width="9.36328125" customWidth="1"/>
    <col min="10" max="10" width="13.90625" customWidth="1"/>
    <col min="11" max="11" width="14.453125" customWidth="1"/>
  </cols>
  <sheetData>
    <row r="1" spans="1:11" x14ac:dyDescent="0.3">
      <c r="K1" s="1" t="s">
        <v>65</v>
      </c>
    </row>
    <row r="2" spans="1:11" x14ac:dyDescent="0.3">
      <c r="A2" s="9" t="s">
        <v>66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9" t="s">
        <v>68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3">
      <c r="A5" s="10" t="s">
        <v>69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3">
      <c r="A6" s="9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</row>
    <row r="8" spans="1:11" x14ac:dyDescent="0.3">
      <c r="B8" s="9" t="s">
        <v>71</v>
      </c>
      <c r="C8" s="9"/>
      <c r="D8" s="9"/>
      <c r="F8" s="9"/>
      <c r="G8" s="9" t="s">
        <v>72</v>
      </c>
      <c r="H8" s="9"/>
      <c r="I8" s="9"/>
      <c r="J8" s="9"/>
      <c r="K8" s="9"/>
    </row>
    <row r="9" spans="1:11" x14ac:dyDescent="0.3">
      <c r="B9" s="26" t="s">
        <v>73</v>
      </c>
      <c r="C9" s="14" t="s">
        <v>74</v>
      </c>
      <c r="D9" s="14" t="s">
        <v>75</v>
      </c>
      <c r="E9" s="15"/>
      <c r="F9" s="24" t="s">
        <v>76</v>
      </c>
      <c r="G9" s="15"/>
      <c r="H9" s="14" t="str">
        <f>B9</f>
        <v>Actual MMcf</v>
      </c>
      <c r="I9" s="14" t="s">
        <v>74</v>
      </c>
      <c r="J9" s="14" t="s">
        <v>75</v>
      </c>
      <c r="K9" s="14" t="s">
        <v>77</v>
      </c>
    </row>
    <row r="10" spans="1:11" x14ac:dyDescent="0.3">
      <c r="B10" s="11">
        <v>-1</v>
      </c>
      <c r="C10" s="11" t="s">
        <v>78</v>
      </c>
      <c r="D10" s="11">
        <v>-3</v>
      </c>
      <c r="F10" s="11">
        <v>-4</v>
      </c>
      <c r="H10" s="11">
        <v>-5</v>
      </c>
      <c r="I10" s="19" t="s">
        <v>79</v>
      </c>
      <c r="J10" s="11" t="s">
        <v>80</v>
      </c>
      <c r="K10" s="11" t="s">
        <v>81</v>
      </c>
    </row>
    <row r="12" spans="1:11" x14ac:dyDescent="0.3">
      <c r="A12" s="4" t="s">
        <v>82</v>
      </c>
      <c r="F12" s="4" t="str">
        <f t="shared" ref="F12:F18" si="0">A12</f>
        <v>RESIDENTIAL</v>
      </c>
    </row>
    <row r="13" spans="1:11" x14ac:dyDescent="0.3">
      <c r="A13" s="1" t="s">
        <v>83</v>
      </c>
      <c r="B13">
        <v>2112357</v>
      </c>
      <c r="C13" s="7">
        <v>11.68</v>
      </c>
      <c r="D13" s="3">
        <f>ROUND(C13*B13/1000,0)</f>
        <v>24672</v>
      </c>
      <c r="F13" t="str">
        <f t="shared" si="0"/>
        <v xml:space="preserve"> Bills</v>
      </c>
      <c r="H13">
        <f t="shared" ref="H13:I15" si="1">B13</f>
        <v>2112357</v>
      </c>
      <c r="I13" s="5">
        <f t="shared" si="1"/>
        <v>11.68</v>
      </c>
      <c r="J13" s="3">
        <f>ROUND(I13*$H13/1000,0)</f>
        <v>24672</v>
      </c>
    </row>
    <row r="14" spans="1:11" x14ac:dyDescent="0.3">
      <c r="A14" s="1" t="s">
        <v>84</v>
      </c>
      <c r="B14">
        <v>8249</v>
      </c>
      <c r="C14" s="8">
        <v>6.6839000000000004</v>
      </c>
      <c r="D14">
        <f>ROUND(C14*B14,0)</f>
        <v>55135</v>
      </c>
      <c r="F14" t="str">
        <f t="shared" si="0"/>
        <v xml:space="preserve"> First 5 Mcf</v>
      </c>
      <c r="H14">
        <f t="shared" si="1"/>
        <v>8249</v>
      </c>
      <c r="I14" s="6">
        <f t="shared" si="1"/>
        <v>6.6839000000000004</v>
      </c>
      <c r="J14">
        <f>ROUND(I14*$H14,0)</f>
        <v>55135</v>
      </c>
    </row>
    <row r="15" spans="1:11" x14ac:dyDescent="0.3">
      <c r="A15" s="1" t="s">
        <v>85</v>
      </c>
      <c r="B15">
        <v>11337</v>
      </c>
      <c r="C15" s="8">
        <v>6.1814999999999998</v>
      </c>
      <c r="D15">
        <f>ROUND(C15*B15,0)</f>
        <v>70080</v>
      </c>
      <c r="F15" t="str">
        <f t="shared" si="0"/>
        <v xml:space="preserve"> Over 5 Mcf</v>
      </c>
      <c r="H15">
        <f t="shared" si="1"/>
        <v>11337</v>
      </c>
      <c r="I15" s="6">
        <f t="shared" si="1"/>
        <v>6.1814999999999998</v>
      </c>
      <c r="J15">
        <f>ROUND(I15*$H15,0)</f>
        <v>70080</v>
      </c>
    </row>
    <row r="16" spans="1:11" x14ac:dyDescent="0.3">
      <c r="A16" s="1" t="s">
        <v>86</v>
      </c>
      <c r="B16" s="12">
        <f>SUM(B14:B15)</f>
        <v>19586</v>
      </c>
      <c r="D16" s="13">
        <f>SUM(D13:D15)</f>
        <v>149887</v>
      </c>
      <c r="F16" t="str">
        <f t="shared" si="0"/>
        <v xml:space="preserve">  Total</v>
      </c>
      <c r="H16" s="12">
        <f>SUM(H14:H15)</f>
        <v>19586</v>
      </c>
      <c r="J16" s="13">
        <f>SUM(J13:J15)</f>
        <v>149887</v>
      </c>
    </row>
    <row r="17" spans="1:11" x14ac:dyDescent="0.3">
      <c r="A17" s="1" t="s">
        <v>87</v>
      </c>
      <c r="C17" s="30">
        <v>0.99965462000000005</v>
      </c>
      <c r="D17">
        <f>ROUND((C17-1)*D16,0)</f>
        <v>-52</v>
      </c>
      <c r="F17" t="str">
        <f t="shared" si="0"/>
        <v xml:space="preserve">  Revenue Adjustment</v>
      </c>
      <c r="I17" s="30">
        <f>C17</f>
        <v>0.99965462000000005</v>
      </c>
      <c r="J17">
        <f>ROUND((I17-1)*J16,0)</f>
        <v>-52</v>
      </c>
    </row>
    <row r="18" spans="1:11" x14ac:dyDescent="0.3">
      <c r="A18" s="1" t="s">
        <v>88</v>
      </c>
      <c r="B18" s="12">
        <f>B16</f>
        <v>19586</v>
      </c>
      <c r="D18" s="13">
        <f>SUM(D16:D17)</f>
        <v>149835</v>
      </c>
      <c r="E18" s="3"/>
      <c r="F18" t="str">
        <f t="shared" si="0"/>
        <v xml:space="preserve">  Sub-Total</v>
      </c>
      <c r="H18" s="12">
        <f>H16</f>
        <v>19586</v>
      </c>
      <c r="J18" s="13">
        <f>SUM(J16:J17)</f>
        <v>149835</v>
      </c>
      <c r="K18" s="13">
        <f>J18-$D18</f>
        <v>0</v>
      </c>
    </row>
    <row r="19" spans="1:11" x14ac:dyDescent="0.3">
      <c r="E19" s="3"/>
    </row>
    <row r="20" spans="1:11" x14ac:dyDescent="0.3">
      <c r="A20" s="1" t="s">
        <v>89</v>
      </c>
      <c r="B20">
        <v>205</v>
      </c>
      <c r="C20" s="7">
        <v>10</v>
      </c>
      <c r="D20" s="3">
        <f>ROUND(C20*B20/1000,0)</f>
        <v>2</v>
      </c>
      <c r="E20" s="3"/>
      <c r="F20" t="str">
        <f>A20</f>
        <v xml:space="preserve">  Transportation Bills  </v>
      </c>
      <c r="H20">
        <f t="shared" ref="H20:I22" si="2">B20</f>
        <v>205</v>
      </c>
      <c r="I20" s="5">
        <f t="shared" si="2"/>
        <v>10</v>
      </c>
      <c r="J20" s="3">
        <f>ROUND(I20*H20/1000,0)</f>
        <v>2</v>
      </c>
      <c r="K20" s="3">
        <f>J20-$D20</f>
        <v>0</v>
      </c>
    </row>
    <row r="21" spans="1:11" x14ac:dyDescent="0.3">
      <c r="A21" s="22" t="s">
        <v>90</v>
      </c>
      <c r="B21">
        <v>18</v>
      </c>
      <c r="C21" s="8">
        <v>2.0478000000000001</v>
      </c>
      <c r="D21">
        <f>ROUND(C21*B21,0)</f>
        <v>37</v>
      </c>
      <c r="E21" s="3"/>
      <c r="F21" t="str">
        <f>A21</f>
        <v xml:space="preserve">     Transportation-Intra</v>
      </c>
      <c r="H21">
        <f t="shared" si="2"/>
        <v>18</v>
      </c>
      <c r="I21" s="6">
        <f t="shared" si="2"/>
        <v>2.0478000000000001</v>
      </c>
      <c r="J21">
        <f>ROUND(I21*H21,0)</f>
        <v>37</v>
      </c>
      <c r="K21">
        <f>J21-D21</f>
        <v>0</v>
      </c>
    </row>
    <row r="22" spans="1:11" x14ac:dyDescent="0.3">
      <c r="A22" s="22" t="s">
        <v>91</v>
      </c>
      <c r="B22">
        <v>3</v>
      </c>
      <c r="C22" s="8">
        <v>2.0478000000000001</v>
      </c>
      <c r="D22">
        <f>ROUND(C22*B22,0)</f>
        <v>6</v>
      </c>
      <c r="E22" s="3"/>
      <c r="F22" t="str">
        <f>A22</f>
        <v xml:space="preserve">     Transportation-Inter</v>
      </c>
      <c r="H22">
        <f t="shared" si="2"/>
        <v>3</v>
      </c>
      <c r="I22" s="6">
        <f t="shared" si="2"/>
        <v>2.0478000000000001</v>
      </c>
      <c r="J22">
        <f>ROUND(I22*H22,0)</f>
        <v>6</v>
      </c>
      <c r="K22">
        <f>J22-D22</f>
        <v>0</v>
      </c>
    </row>
    <row r="23" spans="1:11" x14ac:dyDescent="0.3">
      <c r="A23" s="1" t="s">
        <v>92</v>
      </c>
      <c r="B23" s="12">
        <f>B22+B21</f>
        <v>21</v>
      </c>
      <c r="D23" s="13">
        <f>SUM(D20:D22)</f>
        <v>45</v>
      </c>
      <c r="E23" s="3"/>
      <c r="F23" t="str">
        <f>A23</f>
        <v xml:space="preserve">  Total Transportation</v>
      </c>
      <c r="H23" s="12">
        <f>H22+H21</f>
        <v>21</v>
      </c>
      <c r="J23" s="13">
        <f>SUM(J20:J22)</f>
        <v>45</v>
      </c>
      <c r="K23" s="13">
        <f>J23-D23</f>
        <v>0</v>
      </c>
    </row>
    <row r="24" spans="1:11" x14ac:dyDescent="0.3">
      <c r="E24" s="3"/>
    </row>
    <row r="25" spans="1:11" x14ac:dyDescent="0.3">
      <c r="A25" s="1" t="s">
        <v>88</v>
      </c>
      <c r="B25" s="12">
        <f>B18+B23</f>
        <v>19607</v>
      </c>
      <c r="C25" s="8"/>
      <c r="D25" s="13">
        <f>D18+D23</f>
        <v>149880</v>
      </c>
      <c r="E25" s="3"/>
      <c r="F25" t="str">
        <f>A25</f>
        <v xml:space="preserve">  Sub-Total</v>
      </c>
      <c r="H25" s="12">
        <f>H18+H23</f>
        <v>19607</v>
      </c>
      <c r="I25" s="8"/>
      <c r="J25" s="13">
        <f>J18+J23</f>
        <v>149880</v>
      </c>
      <c r="K25" s="13">
        <f>J25-D25</f>
        <v>0</v>
      </c>
    </row>
    <row r="26" spans="1:11" x14ac:dyDescent="0.3">
      <c r="A26" s="1"/>
      <c r="B26" s="18"/>
      <c r="C26" s="8"/>
      <c r="D26" s="21"/>
      <c r="E26" s="3"/>
      <c r="H26" s="18"/>
      <c r="I26" s="8"/>
      <c r="J26" s="21"/>
      <c r="K26" s="21"/>
    </row>
    <row r="27" spans="1:11" x14ac:dyDescent="0.3">
      <c r="E27" s="3"/>
    </row>
    <row r="28" spans="1:11" x14ac:dyDescent="0.3">
      <c r="A28" s="4" t="s">
        <v>93</v>
      </c>
      <c r="E28" s="3"/>
      <c r="F28" s="4" t="str">
        <f t="shared" ref="F28:F33" si="3">A28</f>
        <v>LOW INCOME RESIDENTIAL (LIRA 1)</v>
      </c>
    </row>
    <row r="29" spans="1:11" x14ac:dyDescent="0.3">
      <c r="A29" s="1" t="s">
        <v>83</v>
      </c>
      <c r="B29">
        <v>4667</v>
      </c>
      <c r="C29" s="7">
        <v>5.0599999999999996</v>
      </c>
      <c r="D29" s="3">
        <f>ROUND(C29*B29/1000,0)</f>
        <v>24</v>
      </c>
      <c r="E29" s="3"/>
      <c r="F29" t="str">
        <f t="shared" si="3"/>
        <v xml:space="preserve"> Bills</v>
      </c>
      <c r="H29">
        <f>B29</f>
        <v>4667</v>
      </c>
      <c r="I29" s="5">
        <f>C29</f>
        <v>5.0599999999999996</v>
      </c>
      <c r="J29" s="3">
        <f>ROUND(I29*H29/1000,0)</f>
        <v>24</v>
      </c>
    </row>
    <row r="30" spans="1:11" x14ac:dyDescent="0.3">
      <c r="A30" s="1" t="s">
        <v>94</v>
      </c>
      <c r="B30">
        <v>54</v>
      </c>
      <c r="C30" s="8">
        <v>3.8395000000000001</v>
      </c>
      <c r="D30">
        <f>ROUND(C30*B30,0)</f>
        <v>207</v>
      </c>
      <c r="E30" s="3"/>
      <c r="F30" t="str">
        <f t="shared" si="3"/>
        <v xml:space="preserve"> All Consumption</v>
      </c>
      <c r="H30">
        <f>B30</f>
        <v>54</v>
      </c>
      <c r="I30" s="6">
        <f>C30</f>
        <v>3.8395000000000001</v>
      </c>
      <c r="J30">
        <f>ROUND(I30*H30,0)</f>
        <v>207</v>
      </c>
    </row>
    <row r="31" spans="1:11" x14ac:dyDescent="0.3">
      <c r="A31" s="1" t="s">
        <v>86</v>
      </c>
      <c r="B31" s="12">
        <f>SUM(B30)</f>
        <v>54</v>
      </c>
      <c r="D31" s="13">
        <f>SUM(D29:D30)</f>
        <v>231</v>
      </c>
      <c r="E31" s="3"/>
      <c r="F31" t="str">
        <f t="shared" si="3"/>
        <v xml:space="preserve">  Total</v>
      </c>
      <c r="H31" s="12">
        <f>SUM(H30)</f>
        <v>54</v>
      </c>
      <c r="J31" s="13">
        <f>SUM(J29:J30)</f>
        <v>231</v>
      </c>
    </row>
    <row r="32" spans="1:11" x14ac:dyDescent="0.3">
      <c r="A32" s="1" t="s">
        <v>87</v>
      </c>
      <c r="C32" s="30">
        <v>1.00051797</v>
      </c>
      <c r="D32">
        <f>ROUND((C32-1)*D31,0)</f>
        <v>0</v>
      </c>
      <c r="E32" s="3"/>
      <c r="F32" t="str">
        <f t="shared" si="3"/>
        <v xml:space="preserve">  Revenue Adjustment</v>
      </c>
      <c r="I32" s="30">
        <f>C32</f>
        <v>1.00051797</v>
      </c>
      <c r="J32">
        <f>ROUND((I32-1)*J31,0)</f>
        <v>0</v>
      </c>
    </row>
    <row r="33" spans="1:11" x14ac:dyDescent="0.3">
      <c r="A33" s="1" t="s">
        <v>88</v>
      </c>
      <c r="B33" s="12">
        <f>B31</f>
        <v>54</v>
      </c>
      <c r="D33" s="13">
        <f>SUM(D31:D32)</f>
        <v>231</v>
      </c>
      <c r="E33" s="3"/>
      <c r="F33" t="str">
        <f t="shared" si="3"/>
        <v xml:space="preserve">  Sub-Total</v>
      </c>
      <c r="H33" s="12">
        <f>H31</f>
        <v>54</v>
      </c>
      <c r="J33" s="13">
        <f>SUM(J31:J32)</f>
        <v>231</v>
      </c>
      <c r="K33" s="13">
        <f>J33-$D33</f>
        <v>0</v>
      </c>
    </row>
    <row r="34" spans="1:11" x14ac:dyDescent="0.3">
      <c r="A34" s="1"/>
      <c r="B34" s="18"/>
      <c r="D34" s="21"/>
      <c r="E34" s="3"/>
      <c r="H34" s="18"/>
      <c r="J34" s="21"/>
      <c r="K34" s="21"/>
    </row>
    <row r="35" spans="1:11" x14ac:dyDescent="0.3">
      <c r="E35" s="3"/>
    </row>
    <row r="36" spans="1:11" x14ac:dyDescent="0.3">
      <c r="A36" s="4" t="s">
        <v>95</v>
      </c>
      <c r="E36" s="3"/>
      <c r="F36" s="4" t="str">
        <f t="shared" ref="F36:F41" si="4">A36</f>
        <v>LOW INCOME RESIDENTIAL (LIRA 2)</v>
      </c>
    </row>
    <row r="37" spans="1:11" x14ac:dyDescent="0.3">
      <c r="A37" s="1" t="s">
        <v>83</v>
      </c>
      <c r="B37">
        <v>12752</v>
      </c>
      <c r="C37" s="7">
        <v>5.0599999999999996</v>
      </c>
      <c r="D37" s="3">
        <f>ROUND(C37*B37/1000,0)</f>
        <v>65</v>
      </c>
      <c r="E37" s="3"/>
      <c r="F37" t="str">
        <f t="shared" si="4"/>
        <v xml:space="preserve"> Bills</v>
      </c>
      <c r="H37">
        <f>B37</f>
        <v>12752</v>
      </c>
      <c r="I37" s="5">
        <f>C37</f>
        <v>5.0599999999999996</v>
      </c>
      <c r="J37" s="3">
        <f>ROUND(I37*H37/1000,0)</f>
        <v>65</v>
      </c>
    </row>
    <row r="38" spans="1:11" x14ac:dyDescent="0.3">
      <c r="A38" s="1" t="s">
        <v>94</v>
      </c>
      <c r="B38">
        <v>144</v>
      </c>
      <c r="C38" s="8">
        <v>4.5395000000000003</v>
      </c>
      <c r="D38">
        <f>ROUND(C38*B38,0)</f>
        <v>654</v>
      </c>
      <c r="E38" s="3"/>
      <c r="F38" t="str">
        <f t="shared" si="4"/>
        <v xml:space="preserve"> All Consumption</v>
      </c>
      <c r="H38">
        <f>B38</f>
        <v>144</v>
      </c>
      <c r="I38" s="6">
        <f>C38</f>
        <v>4.5395000000000003</v>
      </c>
      <c r="J38">
        <f>ROUND(I38*H38,0)</f>
        <v>654</v>
      </c>
    </row>
    <row r="39" spans="1:11" x14ac:dyDescent="0.3">
      <c r="A39" s="1" t="s">
        <v>86</v>
      </c>
      <c r="B39" s="12">
        <f>SUM(B38)</f>
        <v>144</v>
      </c>
      <c r="D39" s="13">
        <f>SUM(D37:D38)</f>
        <v>719</v>
      </c>
      <c r="E39" s="3"/>
      <c r="F39" t="str">
        <f t="shared" si="4"/>
        <v xml:space="preserve">  Total</v>
      </c>
      <c r="H39" s="12">
        <f>SUM(H38)</f>
        <v>144</v>
      </c>
      <c r="J39" s="13">
        <f>SUM(J37:J38)</f>
        <v>719</v>
      </c>
    </row>
    <row r="40" spans="1:11" x14ac:dyDescent="0.3">
      <c r="A40" s="1" t="s">
        <v>87</v>
      </c>
      <c r="C40" s="30">
        <v>1.0002592800000001</v>
      </c>
      <c r="D40">
        <f>ROUND((C40-1)*D39,0)</f>
        <v>0</v>
      </c>
      <c r="E40" s="3"/>
      <c r="F40" t="str">
        <f t="shared" si="4"/>
        <v xml:space="preserve">  Revenue Adjustment</v>
      </c>
      <c r="I40" s="30">
        <f>C40</f>
        <v>1.0002592800000001</v>
      </c>
      <c r="J40">
        <f>ROUND((I40-1)*J39,0)</f>
        <v>0</v>
      </c>
    </row>
    <row r="41" spans="1:11" x14ac:dyDescent="0.3">
      <c r="A41" s="1" t="s">
        <v>88</v>
      </c>
      <c r="B41" s="12">
        <f>B39</f>
        <v>144</v>
      </c>
      <c r="D41" s="13">
        <f>SUM(D39:D40)</f>
        <v>719</v>
      </c>
      <c r="E41" s="3"/>
      <c r="F41" t="str">
        <f t="shared" si="4"/>
        <v xml:space="preserve">  Sub-Total</v>
      </c>
      <c r="H41" s="12">
        <f>H39</f>
        <v>144</v>
      </c>
      <c r="J41" s="13">
        <f>SUM(J39:J40)</f>
        <v>719</v>
      </c>
      <c r="K41" s="13">
        <f>J41-$D41</f>
        <v>0</v>
      </c>
    </row>
    <row r="42" spans="1:11" x14ac:dyDescent="0.3">
      <c r="A42" s="1"/>
      <c r="B42" s="18"/>
      <c r="D42" s="21"/>
      <c r="E42" s="3"/>
      <c r="H42" s="18"/>
      <c r="J42" s="21"/>
      <c r="K42" s="21"/>
    </row>
    <row r="43" spans="1:11" x14ac:dyDescent="0.3">
      <c r="E43" s="3"/>
    </row>
    <row r="44" spans="1:11" x14ac:dyDescent="0.3">
      <c r="A44" s="4" t="s">
        <v>96</v>
      </c>
      <c r="E44" s="3"/>
      <c r="F44" s="4" t="str">
        <f t="shared" ref="F44:F49" si="5">A44</f>
        <v>LOW INCOME RESIDENTIAL (LIRA 3)</v>
      </c>
    </row>
    <row r="45" spans="1:11" x14ac:dyDescent="0.3">
      <c r="A45" s="1" t="s">
        <v>83</v>
      </c>
      <c r="B45">
        <v>4976</v>
      </c>
      <c r="C45" s="7">
        <v>5.0599999999999996</v>
      </c>
      <c r="D45" s="3">
        <f>ROUND(C45*B45/1000,0)</f>
        <v>25</v>
      </c>
      <c r="E45" s="3"/>
      <c r="F45" t="str">
        <f t="shared" si="5"/>
        <v xml:space="preserve"> Bills</v>
      </c>
      <c r="H45">
        <f>B45</f>
        <v>4976</v>
      </c>
      <c r="I45" s="5">
        <f>C45</f>
        <v>5.0599999999999996</v>
      </c>
      <c r="J45" s="3">
        <f>ROUND(I45*H45/1000,0)</f>
        <v>25</v>
      </c>
    </row>
    <row r="46" spans="1:11" x14ac:dyDescent="0.3">
      <c r="A46" s="1" t="s">
        <v>94</v>
      </c>
      <c r="B46">
        <v>56</v>
      </c>
      <c r="C46" s="8">
        <v>6.1814999999999998</v>
      </c>
      <c r="D46">
        <f>ROUND(C46*B46,0)</f>
        <v>346</v>
      </c>
      <c r="E46" s="3"/>
      <c r="F46" t="str">
        <f t="shared" si="5"/>
        <v xml:space="preserve"> All Consumption</v>
      </c>
      <c r="H46">
        <f>B46</f>
        <v>56</v>
      </c>
      <c r="I46" s="6">
        <f>C46</f>
        <v>6.1814999999999998</v>
      </c>
      <c r="J46">
        <f>ROUND(I46*H46,0)</f>
        <v>346</v>
      </c>
    </row>
    <row r="47" spans="1:11" x14ac:dyDescent="0.3">
      <c r="A47" s="1" t="s">
        <v>86</v>
      </c>
      <c r="B47" s="12">
        <f>SUM(B46)</f>
        <v>56</v>
      </c>
      <c r="D47" s="13">
        <f>SUM(D45:D46)</f>
        <v>371</v>
      </c>
      <c r="E47" s="3"/>
      <c r="F47" t="str">
        <f t="shared" si="5"/>
        <v xml:space="preserve">  Total</v>
      </c>
      <c r="H47" s="12">
        <f>SUM(H46)</f>
        <v>56</v>
      </c>
      <c r="J47" s="13">
        <f>SUM(J45:J46)</f>
        <v>371</v>
      </c>
    </row>
    <row r="48" spans="1:11" x14ac:dyDescent="0.3">
      <c r="A48" s="1" t="s">
        <v>87</v>
      </c>
      <c r="C48" s="30">
        <v>1.0001123700000001</v>
      </c>
      <c r="D48">
        <f>ROUND((C48-1)*D47,0)</f>
        <v>0</v>
      </c>
      <c r="E48" s="3"/>
      <c r="F48" t="str">
        <f t="shared" si="5"/>
        <v xml:space="preserve">  Revenue Adjustment</v>
      </c>
      <c r="I48" s="30">
        <f>C48</f>
        <v>1.0001123700000001</v>
      </c>
      <c r="J48">
        <f>ROUND((I48-1)*J47,0)</f>
        <v>0</v>
      </c>
    </row>
    <row r="49" spans="1:11" x14ac:dyDescent="0.3">
      <c r="A49" s="1" t="s">
        <v>88</v>
      </c>
      <c r="B49" s="12">
        <f>B47</f>
        <v>56</v>
      </c>
      <c r="D49" s="13">
        <f>SUM(D47:D48)</f>
        <v>371</v>
      </c>
      <c r="E49" s="3"/>
      <c r="F49" t="str">
        <f t="shared" si="5"/>
        <v xml:space="preserve">  Sub-Total</v>
      </c>
      <c r="H49" s="12">
        <f>H47</f>
        <v>56</v>
      </c>
      <c r="J49" s="13">
        <f>SUM(J47:J48)</f>
        <v>371</v>
      </c>
      <c r="K49" s="13">
        <f>J49-$D49</f>
        <v>0</v>
      </c>
    </row>
    <row r="50" spans="1:11" x14ac:dyDescent="0.3">
      <c r="E50" s="3"/>
    </row>
    <row r="51" spans="1:11" x14ac:dyDescent="0.3">
      <c r="A51" s="4" t="s">
        <v>97</v>
      </c>
      <c r="B51" s="12">
        <f>B25+B33+B41+B49</f>
        <v>19861</v>
      </c>
      <c r="D51" s="12">
        <f>D25+D33+D41+D49</f>
        <v>151201</v>
      </c>
      <c r="E51" s="3"/>
      <c r="F51" s="1" t="s">
        <v>97</v>
      </c>
      <c r="H51" s="12">
        <f>H25+H33+H41+H49</f>
        <v>19861</v>
      </c>
      <c r="J51" s="12">
        <f>J25+J33+J41+J49</f>
        <v>151201</v>
      </c>
      <c r="K51" s="13">
        <f>J51-$D51</f>
        <v>0</v>
      </c>
    </row>
    <row r="52" spans="1:11" x14ac:dyDescent="0.3">
      <c r="A52" s="4"/>
      <c r="B52" s="18"/>
      <c r="D52" s="18"/>
      <c r="E52" s="3"/>
      <c r="F52" s="1"/>
      <c r="H52" s="18"/>
      <c r="J52" s="18"/>
    </row>
    <row r="53" spans="1:11" x14ac:dyDescent="0.3">
      <c r="A53" s="4"/>
      <c r="B53" s="18"/>
      <c r="D53" s="18"/>
      <c r="E53" s="3"/>
      <c r="F53" s="1"/>
      <c r="H53" s="18"/>
      <c r="J53" s="18"/>
    </row>
    <row r="54" spans="1:11" x14ac:dyDescent="0.3">
      <c r="A54" s="4" t="s">
        <v>98</v>
      </c>
      <c r="E54" s="3"/>
      <c r="F54" s="4" t="str">
        <f t="shared" ref="F54:F60" si="6">A54</f>
        <v>SMALL COMMERCIAL &amp; PUBLIC AUTHORITY &lt; 250 MCF</v>
      </c>
    </row>
    <row r="55" spans="1:11" x14ac:dyDescent="0.3">
      <c r="A55" s="1" t="s">
        <v>83</v>
      </c>
      <c r="B55">
        <v>92451</v>
      </c>
      <c r="C55" s="7">
        <v>16.25</v>
      </c>
      <c r="D55" s="3">
        <f>ROUND(C55*B55/1000,0)</f>
        <v>1502</v>
      </c>
      <c r="E55" s="3"/>
      <c r="F55" t="str">
        <f t="shared" si="6"/>
        <v xml:space="preserve"> Bills</v>
      </c>
      <c r="H55">
        <f t="shared" ref="H55:I57" si="7">B55</f>
        <v>92451</v>
      </c>
      <c r="I55" s="5">
        <f t="shared" si="7"/>
        <v>16.25</v>
      </c>
      <c r="J55" s="3">
        <f>ROUND(I55*H55/1000,0)</f>
        <v>1502</v>
      </c>
    </row>
    <row r="56" spans="1:11" x14ac:dyDescent="0.3">
      <c r="A56" s="1" t="s">
        <v>99</v>
      </c>
      <c r="B56">
        <v>296</v>
      </c>
      <c r="C56" s="8">
        <v>7.0092999999999996</v>
      </c>
      <c r="D56">
        <f>ROUND(C56*B56,0)</f>
        <v>2075</v>
      </c>
      <c r="E56" s="3"/>
      <c r="F56" t="str">
        <f t="shared" si="6"/>
        <v xml:space="preserve"> First  5 Mcf</v>
      </c>
      <c r="H56">
        <f t="shared" si="7"/>
        <v>296</v>
      </c>
      <c r="I56" s="6">
        <f t="shared" si="7"/>
        <v>7.0092999999999996</v>
      </c>
      <c r="J56">
        <f>ROUND(I56*H56,0)</f>
        <v>2075</v>
      </c>
      <c r="K56" s="3"/>
    </row>
    <row r="57" spans="1:11" x14ac:dyDescent="0.3">
      <c r="A57" s="1" t="s">
        <v>85</v>
      </c>
      <c r="B57">
        <v>552</v>
      </c>
      <c r="C57" s="8">
        <v>6.8372999999999999</v>
      </c>
      <c r="D57">
        <f>ROUND(C57*B57,0)</f>
        <v>3774</v>
      </c>
      <c r="E57" s="3"/>
      <c r="F57" t="str">
        <f t="shared" si="6"/>
        <v xml:space="preserve"> Over 5 Mcf</v>
      </c>
      <c r="H57">
        <f t="shared" si="7"/>
        <v>552</v>
      </c>
      <c r="I57" s="6">
        <f t="shared" si="7"/>
        <v>6.8372999999999999</v>
      </c>
      <c r="J57">
        <f>ROUND(I57*H57,0)</f>
        <v>3774</v>
      </c>
    </row>
    <row r="58" spans="1:11" x14ac:dyDescent="0.3">
      <c r="A58" s="1" t="s">
        <v>86</v>
      </c>
      <c r="B58" s="12">
        <f>SUM(B56:B57)</f>
        <v>848</v>
      </c>
      <c r="D58" s="13">
        <f>SUM(D55:D57)</f>
        <v>7351</v>
      </c>
      <c r="E58" s="3"/>
      <c r="F58" t="str">
        <f t="shared" si="6"/>
        <v xml:space="preserve">  Total</v>
      </c>
      <c r="H58" s="12">
        <f>SUM(H56:H57)</f>
        <v>848</v>
      </c>
      <c r="J58" s="13">
        <f>SUM(J55:J57)</f>
        <v>7351</v>
      </c>
    </row>
    <row r="59" spans="1:11" x14ac:dyDescent="0.3">
      <c r="A59" s="1" t="s">
        <v>87</v>
      </c>
      <c r="C59" s="30">
        <v>0.99948751999999996</v>
      </c>
      <c r="D59">
        <f>ROUND((C59-1)*D58,0)</f>
        <v>-4</v>
      </c>
      <c r="E59" s="3"/>
      <c r="F59" t="str">
        <f t="shared" si="6"/>
        <v xml:space="preserve">  Revenue Adjustment</v>
      </c>
      <c r="I59" s="30">
        <f>C59</f>
        <v>0.99948751999999996</v>
      </c>
      <c r="J59">
        <f>ROUND((I59-1)*J58,0)</f>
        <v>-4</v>
      </c>
    </row>
    <row r="60" spans="1:11" x14ac:dyDescent="0.3">
      <c r="A60" s="1" t="s">
        <v>88</v>
      </c>
      <c r="B60" s="12">
        <f>B58</f>
        <v>848</v>
      </c>
      <c r="D60" s="13">
        <f>D58+D59</f>
        <v>7347</v>
      </c>
      <c r="E60" s="3"/>
      <c r="F60" t="str">
        <f t="shared" si="6"/>
        <v xml:space="preserve">  Sub-Total</v>
      </c>
      <c r="H60" s="12">
        <f>H58</f>
        <v>848</v>
      </c>
      <c r="I60" s="8"/>
      <c r="J60" s="13">
        <f>J58+J59</f>
        <v>7347</v>
      </c>
      <c r="K60" s="13">
        <f>J60-D60</f>
        <v>0</v>
      </c>
    </row>
    <row r="61" spans="1:11" x14ac:dyDescent="0.3">
      <c r="A61" s="1"/>
      <c r="B61" s="18"/>
      <c r="D61" s="21"/>
      <c r="E61" s="3"/>
      <c r="H61" s="18"/>
      <c r="I61" s="8"/>
      <c r="J61" s="21"/>
      <c r="K61" s="21"/>
    </row>
    <row r="62" spans="1:11" x14ac:dyDescent="0.3">
      <c r="A62" s="1" t="s">
        <v>89</v>
      </c>
      <c r="B62">
        <v>37</v>
      </c>
      <c r="C62" s="7">
        <v>70</v>
      </c>
      <c r="D62" s="3">
        <f>ROUND(C62*B62/1000,0)</f>
        <v>3</v>
      </c>
      <c r="E62" s="3"/>
      <c r="F62" t="str">
        <f>A62</f>
        <v xml:space="preserve">  Transportation Bills  </v>
      </c>
      <c r="H62">
        <f t="shared" ref="H62:I64" si="8">B62</f>
        <v>37</v>
      </c>
      <c r="I62" s="5">
        <f t="shared" si="8"/>
        <v>70</v>
      </c>
      <c r="J62" s="3">
        <f>ROUND(I62*H62/1000,0)</f>
        <v>3</v>
      </c>
      <c r="K62" s="3">
        <f>J62-$D62</f>
        <v>0</v>
      </c>
    </row>
    <row r="63" spans="1:11" x14ac:dyDescent="0.3">
      <c r="A63" s="22" t="s">
        <v>90</v>
      </c>
      <c r="B63">
        <v>0</v>
      </c>
      <c r="C63" s="8">
        <v>2.5773999999999999</v>
      </c>
      <c r="D63">
        <f>ROUND(C63*B63,0)</f>
        <v>0</v>
      </c>
      <c r="E63" s="3"/>
      <c r="F63" t="str">
        <f>A63</f>
        <v xml:space="preserve">     Transportation-Intra</v>
      </c>
      <c r="H63">
        <f t="shared" si="8"/>
        <v>0</v>
      </c>
      <c r="I63" s="6">
        <f t="shared" si="8"/>
        <v>2.5773999999999999</v>
      </c>
      <c r="J63">
        <f>ROUND(I63*H63,0)</f>
        <v>0</v>
      </c>
      <c r="K63">
        <f>J63-D63</f>
        <v>0</v>
      </c>
    </row>
    <row r="64" spans="1:11" x14ac:dyDescent="0.3">
      <c r="A64" s="22" t="s">
        <v>91</v>
      </c>
      <c r="B64">
        <v>0</v>
      </c>
      <c r="C64" s="8">
        <v>2.5773999999999999</v>
      </c>
      <c r="D64">
        <f>ROUND(C64*B64,0)</f>
        <v>0</v>
      </c>
      <c r="E64" s="3"/>
      <c r="F64" t="str">
        <f>A64</f>
        <v xml:space="preserve">     Transportation-Inter</v>
      </c>
      <c r="H64">
        <f t="shared" si="8"/>
        <v>0</v>
      </c>
      <c r="I64" s="6">
        <f t="shared" si="8"/>
        <v>2.5773999999999999</v>
      </c>
      <c r="J64">
        <f>ROUND(I64*H64,0)</f>
        <v>0</v>
      </c>
      <c r="K64">
        <f>J64-D64</f>
        <v>0</v>
      </c>
    </row>
    <row r="65" spans="1:11" x14ac:dyDescent="0.3">
      <c r="A65" s="1" t="s">
        <v>92</v>
      </c>
      <c r="B65" s="12">
        <f>B64+B63</f>
        <v>0</v>
      </c>
      <c r="D65" s="13">
        <f>SUM(D62:D64)</f>
        <v>3</v>
      </c>
      <c r="E65" s="3"/>
      <c r="F65" t="str">
        <f>A65</f>
        <v xml:space="preserve">  Total Transportation</v>
      </c>
      <c r="H65" s="12">
        <f>H64+H63</f>
        <v>0</v>
      </c>
      <c r="J65" s="13">
        <f>SUM(J62:J64)</f>
        <v>3</v>
      </c>
      <c r="K65" s="13">
        <f>J65-D65</f>
        <v>0</v>
      </c>
    </row>
    <row r="66" spans="1:11" x14ac:dyDescent="0.3">
      <c r="E66" s="3"/>
    </row>
    <row r="67" spans="1:11" x14ac:dyDescent="0.3">
      <c r="A67" s="1" t="s">
        <v>86</v>
      </c>
      <c r="B67" s="12">
        <f>B60+B65</f>
        <v>848</v>
      </c>
      <c r="C67" s="8"/>
      <c r="D67" s="13">
        <f>D60+D65</f>
        <v>7350</v>
      </c>
      <c r="E67" s="3"/>
      <c r="F67" t="str">
        <f>A67</f>
        <v xml:space="preserve">  Total</v>
      </c>
      <c r="H67" s="12">
        <f>H60+H65</f>
        <v>848</v>
      </c>
      <c r="I67" s="8"/>
      <c r="J67" s="13">
        <f>J60+J65</f>
        <v>7350</v>
      </c>
      <c r="K67" s="13">
        <f>J67-D67</f>
        <v>0</v>
      </c>
    </row>
    <row r="68" spans="1:11" x14ac:dyDescent="0.3">
      <c r="A68" s="4"/>
      <c r="B68" s="18"/>
      <c r="D68" s="18"/>
      <c r="E68" s="3"/>
      <c r="F68" s="1"/>
      <c r="H68" s="18"/>
      <c r="J68" s="18"/>
    </row>
    <row r="69" spans="1:11" x14ac:dyDescent="0.3">
      <c r="A69" s="4"/>
      <c r="B69" s="18"/>
      <c r="D69" s="18"/>
      <c r="E69" s="3"/>
      <c r="F69" s="1"/>
      <c r="H69" s="18"/>
      <c r="J69" s="18"/>
    </row>
    <row r="70" spans="1:11" x14ac:dyDescent="0.3">
      <c r="A70" s="4" t="s">
        <v>100</v>
      </c>
      <c r="E70" s="3"/>
      <c r="F70" s="4" t="str">
        <f t="shared" ref="F70:F76" si="9">A70</f>
        <v>SMALL COMMERCIAL &amp; PUBLIC AUTHORITY &gt; 250 MCF</v>
      </c>
    </row>
    <row r="71" spans="1:11" x14ac:dyDescent="0.3">
      <c r="A71" s="1" t="s">
        <v>83</v>
      </c>
      <c r="B71">
        <v>50786</v>
      </c>
      <c r="C71" s="7">
        <v>27.5</v>
      </c>
      <c r="D71" s="3">
        <f>ROUND(C71*B71/1000,0)</f>
        <v>1397</v>
      </c>
      <c r="E71" s="3"/>
      <c r="F71" t="str">
        <f t="shared" si="9"/>
        <v xml:space="preserve"> Bills</v>
      </c>
      <c r="H71">
        <f t="shared" ref="H71:I73" si="10">B71</f>
        <v>50786</v>
      </c>
      <c r="I71" s="5">
        <f t="shared" si="10"/>
        <v>27.5</v>
      </c>
      <c r="J71" s="3">
        <f>ROUND(I71*H71/1000,0)</f>
        <v>1397</v>
      </c>
    </row>
    <row r="72" spans="1:11" x14ac:dyDescent="0.3">
      <c r="A72" s="1" t="s">
        <v>101</v>
      </c>
      <c r="B72">
        <v>712</v>
      </c>
      <c r="C72" s="8">
        <v>6.5663</v>
      </c>
      <c r="D72">
        <f>ROUND(C72*B72,0)</f>
        <v>4675</v>
      </c>
      <c r="E72" s="3"/>
      <c r="F72" t="str">
        <f t="shared" si="9"/>
        <v xml:space="preserve"> First  20 Mcf</v>
      </c>
      <c r="H72">
        <f t="shared" si="10"/>
        <v>712</v>
      </c>
      <c r="I72" s="6">
        <f t="shared" si="10"/>
        <v>6.5663</v>
      </c>
      <c r="J72">
        <f>ROUND(I72*H72,0)</f>
        <v>4675</v>
      </c>
      <c r="K72" s="3"/>
    </row>
    <row r="73" spans="1:11" x14ac:dyDescent="0.3">
      <c r="A73" s="1" t="s">
        <v>102</v>
      </c>
      <c r="B73">
        <v>1008</v>
      </c>
      <c r="C73" s="8">
        <v>6.4302999999999999</v>
      </c>
      <c r="D73">
        <f>ROUND(C73*B73,0)</f>
        <v>6482</v>
      </c>
      <c r="E73" s="3"/>
      <c r="F73" t="str">
        <f t="shared" si="9"/>
        <v xml:space="preserve"> Over  20 Mcf</v>
      </c>
      <c r="H73">
        <f t="shared" si="10"/>
        <v>1008</v>
      </c>
      <c r="I73" s="6">
        <f t="shared" si="10"/>
        <v>6.4302999999999999</v>
      </c>
      <c r="J73">
        <f>ROUND(I73*H73,0)</f>
        <v>6482</v>
      </c>
    </row>
    <row r="74" spans="1:11" x14ac:dyDescent="0.3">
      <c r="A74" s="1" t="s">
        <v>86</v>
      </c>
      <c r="B74" s="12">
        <f>SUM(B72:B73)</f>
        <v>1720</v>
      </c>
      <c r="D74" s="13">
        <f>SUM(D71:D73)</f>
        <v>12554</v>
      </c>
      <c r="E74" s="3"/>
      <c r="F74" t="str">
        <f t="shared" si="9"/>
        <v xml:space="preserve">  Total</v>
      </c>
      <c r="H74" s="12">
        <f>SUM(H72:H73)</f>
        <v>1720</v>
      </c>
      <c r="J74" s="13">
        <f>SUM(J71:J73)</f>
        <v>12554</v>
      </c>
    </row>
    <row r="75" spans="1:11" x14ac:dyDescent="0.3">
      <c r="A75" s="1" t="s">
        <v>87</v>
      </c>
      <c r="C75" s="30">
        <v>0.99629725000000002</v>
      </c>
      <c r="D75">
        <f>ROUND((C75-1)*D74,0)</f>
        <v>-46</v>
      </c>
      <c r="E75" s="3"/>
      <c r="F75" t="str">
        <f t="shared" si="9"/>
        <v xml:space="preserve">  Revenue Adjustment</v>
      </c>
      <c r="I75" s="30">
        <f>C75</f>
        <v>0.99629725000000002</v>
      </c>
      <c r="J75">
        <f>ROUND((I75-1)*J74,0)</f>
        <v>-46</v>
      </c>
    </row>
    <row r="76" spans="1:11" x14ac:dyDescent="0.3">
      <c r="A76" s="1" t="s">
        <v>88</v>
      </c>
      <c r="B76" s="12">
        <f>B74</f>
        <v>1720</v>
      </c>
      <c r="D76" s="13">
        <f>D74+D75</f>
        <v>12508</v>
      </c>
      <c r="E76" s="3"/>
      <c r="F76" t="str">
        <f t="shared" si="9"/>
        <v xml:space="preserve">  Sub-Total</v>
      </c>
      <c r="H76" s="12">
        <f>H74</f>
        <v>1720</v>
      </c>
      <c r="I76" s="8"/>
      <c r="J76" s="13">
        <f>J74+J75</f>
        <v>12508</v>
      </c>
      <c r="K76" s="13">
        <f>J76-D76</f>
        <v>0</v>
      </c>
    </row>
    <row r="77" spans="1:11" x14ac:dyDescent="0.3">
      <c r="A77" s="1"/>
      <c r="B77" s="18"/>
      <c r="D77" s="21"/>
      <c r="E77" s="3"/>
      <c r="H77" s="18"/>
      <c r="I77" s="8"/>
      <c r="J77" s="21"/>
      <c r="K77" s="21"/>
    </row>
    <row r="78" spans="1:11" x14ac:dyDescent="0.3">
      <c r="A78" s="1" t="s">
        <v>89</v>
      </c>
      <c r="B78">
        <v>418</v>
      </c>
      <c r="C78" s="7">
        <v>70</v>
      </c>
      <c r="D78" s="3">
        <f>ROUND(C78*B78/1000,0)</f>
        <v>29</v>
      </c>
      <c r="E78" s="3"/>
      <c r="F78" t="str">
        <f>A78</f>
        <v xml:space="preserve">  Transportation Bills  </v>
      </c>
      <c r="H78">
        <f t="shared" ref="H78:I80" si="11">B78</f>
        <v>418</v>
      </c>
      <c r="I78" s="5">
        <f t="shared" si="11"/>
        <v>70</v>
      </c>
      <c r="J78" s="3">
        <f>ROUND(I78*H78/1000,0)</f>
        <v>29</v>
      </c>
      <c r="K78" s="3">
        <f>J78-$D78</f>
        <v>0</v>
      </c>
    </row>
    <row r="79" spans="1:11" x14ac:dyDescent="0.3">
      <c r="A79" s="22" t="s">
        <v>90</v>
      </c>
      <c r="B79">
        <v>17</v>
      </c>
      <c r="C79" s="8">
        <v>2.1556999999999999</v>
      </c>
      <c r="D79">
        <f>ROUND(C79*B79,0)</f>
        <v>37</v>
      </c>
      <c r="E79" s="3"/>
      <c r="F79" t="str">
        <f>A79</f>
        <v xml:space="preserve">     Transportation-Intra</v>
      </c>
      <c r="H79">
        <f t="shared" si="11"/>
        <v>17</v>
      </c>
      <c r="I79" s="6">
        <f t="shared" si="11"/>
        <v>2.1556999999999999</v>
      </c>
      <c r="J79">
        <f>ROUND(I79*H79,0)</f>
        <v>37</v>
      </c>
      <c r="K79">
        <f>J79-D79</f>
        <v>0</v>
      </c>
    </row>
    <row r="80" spans="1:11" x14ac:dyDescent="0.3">
      <c r="A80" s="22" t="s">
        <v>91</v>
      </c>
      <c r="B80">
        <v>4</v>
      </c>
      <c r="C80" s="8">
        <v>2.1556999999999999</v>
      </c>
      <c r="D80">
        <f>ROUND(C80*B80,0)</f>
        <v>9</v>
      </c>
      <c r="E80" s="3"/>
      <c r="F80" t="str">
        <f>A80</f>
        <v xml:space="preserve">     Transportation-Inter</v>
      </c>
      <c r="H80">
        <f t="shared" si="11"/>
        <v>4</v>
      </c>
      <c r="I80" s="6">
        <f t="shared" si="11"/>
        <v>2.1556999999999999</v>
      </c>
      <c r="J80">
        <f>ROUND(I80*H80,0)</f>
        <v>9</v>
      </c>
      <c r="K80">
        <f>J80-D80</f>
        <v>0</v>
      </c>
    </row>
    <row r="81" spans="1:11" x14ac:dyDescent="0.3">
      <c r="A81" s="1" t="s">
        <v>92</v>
      </c>
      <c r="B81" s="12">
        <f>B80+B79</f>
        <v>21</v>
      </c>
      <c r="D81" s="13">
        <f>SUM(D78:D80)</f>
        <v>75</v>
      </c>
      <c r="E81" s="3"/>
      <c r="F81" t="str">
        <f>A81</f>
        <v xml:space="preserve">  Total Transportation</v>
      </c>
      <c r="H81" s="12">
        <f>H80+H79</f>
        <v>21</v>
      </c>
      <c r="J81" s="13">
        <f>SUM(J78:J80)</f>
        <v>75</v>
      </c>
      <c r="K81" s="13">
        <f>J81-D81</f>
        <v>0</v>
      </c>
    </row>
    <row r="82" spans="1:11" x14ac:dyDescent="0.3">
      <c r="E82" s="3"/>
    </row>
    <row r="83" spans="1:11" x14ac:dyDescent="0.3">
      <c r="A83" s="1" t="s">
        <v>86</v>
      </c>
      <c r="B83" s="12">
        <f>B76+B81</f>
        <v>1741</v>
      </c>
      <c r="C83" s="8"/>
      <c r="D83" s="13">
        <f>D76+D81</f>
        <v>12583</v>
      </c>
      <c r="E83" s="3"/>
      <c r="F83" t="str">
        <f>A83</f>
        <v xml:space="preserve">  Total</v>
      </c>
      <c r="H83" s="12">
        <f>H76+H81</f>
        <v>1741</v>
      </c>
      <c r="I83" s="8"/>
      <c r="J83" s="13">
        <f>J76+J81</f>
        <v>12583</v>
      </c>
      <c r="K83" s="13">
        <f>J83-D83</f>
        <v>0</v>
      </c>
    </row>
    <row r="84" spans="1:11" x14ac:dyDescent="0.3">
      <c r="A84" s="1"/>
      <c r="B84" s="18"/>
      <c r="C84" s="8"/>
      <c r="D84" s="21"/>
      <c r="E84" s="3"/>
      <c r="H84" s="18"/>
      <c r="I84" s="8"/>
      <c r="J84" s="21"/>
      <c r="K84" s="21"/>
    </row>
    <row r="85" spans="1:11" x14ac:dyDescent="0.3">
      <c r="E85" s="3"/>
    </row>
    <row r="86" spans="1:11" x14ac:dyDescent="0.3">
      <c r="A86" s="4" t="s">
        <v>103</v>
      </c>
      <c r="E86" s="3"/>
      <c r="F86" s="4" t="str">
        <f t="shared" ref="F86:F93" si="12">A86</f>
        <v>LARGE COMMERCIAL &amp; PUBLIC AUTHORITY</v>
      </c>
    </row>
    <row r="87" spans="1:11" x14ac:dyDescent="0.3">
      <c r="A87" s="1" t="s">
        <v>83</v>
      </c>
      <c r="B87">
        <v>20037</v>
      </c>
      <c r="C87" s="7">
        <v>127.5</v>
      </c>
      <c r="D87" s="3">
        <f>ROUND(C87*B87/1000,0)</f>
        <v>2555</v>
      </c>
      <c r="E87" s="3"/>
      <c r="F87" t="str">
        <f t="shared" si="12"/>
        <v xml:space="preserve"> Bills</v>
      </c>
      <c r="H87">
        <f t="shared" ref="H87:I90" si="13">B87</f>
        <v>20037</v>
      </c>
      <c r="I87" s="5">
        <f t="shared" si="13"/>
        <v>127.5</v>
      </c>
      <c r="J87" s="3">
        <f>ROUND(I87*H87/1000,0)</f>
        <v>2555</v>
      </c>
    </row>
    <row r="88" spans="1:11" x14ac:dyDescent="0.3">
      <c r="A88" s="1" t="s">
        <v>104</v>
      </c>
      <c r="B88">
        <v>1758</v>
      </c>
      <c r="C88" s="8">
        <v>5.7035999999999998</v>
      </c>
      <c r="D88">
        <f>ROUND(C88*B88,0)</f>
        <v>10027</v>
      </c>
      <c r="E88" s="3"/>
      <c r="F88" t="str">
        <f t="shared" si="12"/>
        <v xml:space="preserve"> First    300 Mcf</v>
      </c>
      <c r="H88">
        <f t="shared" si="13"/>
        <v>1758</v>
      </c>
      <c r="I88" s="6">
        <f t="shared" si="13"/>
        <v>5.7035999999999998</v>
      </c>
      <c r="J88">
        <f>ROUND(I88*H88,0)</f>
        <v>10027</v>
      </c>
      <c r="K88" s="3"/>
    </row>
    <row r="89" spans="1:11" x14ac:dyDescent="0.3">
      <c r="A89" s="1" t="s">
        <v>105</v>
      </c>
      <c r="B89">
        <v>579</v>
      </c>
      <c r="C89" s="8">
        <v>5.5662000000000003</v>
      </c>
      <c r="D89">
        <f>ROUND(C89*B89,0)</f>
        <v>3223</v>
      </c>
      <c r="E89" s="3"/>
      <c r="F89" t="str">
        <f t="shared" si="12"/>
        <v xml:space="preserve"> Next  1,700 Mcf</v>
      </c>
      <c r="H89">
        <f t="shared" si="13"/>
        <v>579</v>
      </c>
      <c r="I89" s="6">
        <f t="shared" si="13"/>
        <v>5.5662000000000003</v>
      </c>
      <c r="J89">
        <f>ROUND(I89*H89,0)</f>
        <v>3223</v>
      </c>
    </row>
    <row r="90" spans="1:11" x14ac:dyDescent="0.3">
      <c r="A90" s="1" t="s">
        <v>106</v>
      </c>
      <c r="B90">
        <v>74</v>
      </c>
      <c r="C90" s="8">
        <v>5.3930999999999996</v>
      </c>
      <c r="D90">
        <f>ROUND(C90*B90,0)</f>
        <v>399</v>
      </c>
      <c r="E90" s="3"/>
      <c r="F90" t="str">
        <f t="shared" si="12"/>
        <v xml:space="preserve"> Over  2,000 Mcf</v>
      </c>
      <c r="H90">
        <f t="shared" si="13"/>
        <v>74</v>
      </c>
      <c r="I90" s="6">
        <f t="shared" si="13"/>
        <v>5.3930999999999996</v>
      </c>
      <c r="J90">
        <f>ROUND(I90*H90,0)</f>
        <v>399</v>
      </c>
    </row>
    <row r="91" spans="1:11" x14ac:dyDescent="0.3">
      <c r="A91" s="1" t="s">
        <v>86</v>
      </c>
      <c r="B91" s="12">
        <f>SUM(B88:B90)</f>
        <v>2411</v>
      </c>
      <c r="D91" s="13">
        <f>SUM(D87:D90)</f>
        <v>16204</v>
      </c>
      <c r="E91" s="3"/>
      <c r="F91" t="str">
        <f t="shared" si="12"/>
        <v xml:space="preserve">  Total</v>
      </c>
      <c r="H91" s="12">
        <f>SUM(H88:H90)</f>
        <v>2411</v>
      </c>
      <c r="J91" s="13">
        <f>SUM(J87:J90)</f>
        <v>16204</v>
      </c>
    </row>
    <row r="92" spans="1:11" x14ac:dyDescent="0.3">
      <c r="A92" s="1" t="s">
        <v>87</v>
      </c>
      <c r="C92" s="30">
        <v>1.0097922699999999</v>
      </c>
      <c r="D92">
        <f>ROUND((C92-1)*D91,0)</f>
        <v>159</v>
      </c>
      <c r="E92" s="3"/>
      <c r="F92" t="str">
        <f t="shared" si="12"/>
        <v xml:space="preserve">  Revenue Adjustment</v>
      </c>
      <c r="I92" s="30">
        <f>C92</f>
        <v>1.0097922699999999</v>
      </c>
      <c r="J92">
        <f>ROUND((I92-1)*J91,0)</f>
        <v>159</v>
      </c>
    </row>
    <row r="93" spans="1:11" x14ac:dyDescent="0.3">
      <c r="A93" s="1" t="s">
        <v>107</v>
      </c>
      <c r="B93" s="12">
        <f>B91</f>
        <v>2411</v>
      </c>
      <c r="D93" s="13">
        <f>D91+D92</f>
        <v>16363</v>
      </c>
      <c r="E93" s="3"/>
      <c r="F93" t="str">
        <f t="shared" si="12"/>
        <v xml:space="preserve">  Total Sales Before LBS</v>
      </c>
      <c r="H93" s="12">
        <f>H91</f>
        <v>2411</v>
      </c>
      <c r="I93" s="8"/>
      <c r="J93" s="13">
        <f>J91+J92</f>
        <v>16363</v>
      </c>
      <c r="K93" s="13">
        <f>J93-D93</f>
        <v>0</v>
      </c>
    </row>
    <row r="94" spans="1:11" x14ac:dyDescent="0.3">
      <c r="E94" s="3"/>
    </row>
    <row r="95" spans="1:11" x14ac:dyDescent="0.3">
      <c r="A95" s="1" t="s">
        <v>108</v>
      </c>
      <c r="E95" s="3"/>
      <c r="F95" t="str">
        <f>A95</f>
        <v xml:space="preserve">  Load Balancing Sales Service</v>
      </c>
    </row>
    <row r="96" spans="1:11" x14ac:dyDescent="0.3">
      <c r="A96" s="1" t="s">
        <v>109</v>
      </c>
      <c r="B96">
        <v>0</v>
      </c>
      <c r="C96" s="8">
        <v>1.3238000000000001</v>
      </c>
      <c r="D96" s="3">
        <f>ROUND(C96*B96,0)</f>
        <v>0</v>
      </c>
      <c r="E96" s="3"/>
      <c r="F96" t="str">
        <f>A96</f>
        <v xml:space="preserve">       Demand (BDU)</v>
      </c>
      <c r="H96">
        <f>B96</f>
        <v>0</v>
      </c>
      <c r="I96" s="6">
        <f>C96</f>
        <v>1.3238000000000001</v>
      </c>
      <c r="J96" s="3">
        <f>ROUND(I96*H96,0)</f>
        <v>0</v>
      </c>
    </row>
    <row r="97" spans="1:11" x14ac:dyDescent="0.3">
      <c r="A97" s="1" t="s">
        <v>110</v>
      </c>
      <c r="B97">
        <v>0</v>
      </c>
      <c r="C97" s="8">
        <v>3.0958999999999999</v>
      </c>
      <c r="D97">
        <f>ROUND(C97*B97,0)</f>
        <v>0</v>
      </c>
      <c r="E97" s="3"/>
      <c r="F97" t="str">
        <f>A97</f>
        <v xml:space="preserve">       Commodity</v>
      </c>
      <c r="H97">
        <f>B97</f>
        <v>0</v>
      </c>
      <c r="I97" s="6">
        <f>C97</f>
        <v>3.0958999999999999</v>
      </c>
      <c r="J97">
        <f>ROUND(I97*H97,0)</f>
        <v>0</v>
      </c>
    </row>
    <row r="98" spans="1:11" x14ac:dyDescent="0.3">
      <c r="A98" s="1" t="s">
        <v>111</v>
      </c>
      <c r="B98" s="12">
        <f>B97</f>
        <v>0</v>
      </c>
      <c r="D98" s="13">
        <f>D96+D97</f>
        <v>0</v>
      </c>
      <c r="E98" s="3"/>
      <c r="F98" t="str">
        <f>A98</f>
        <v xml:space="preserve">  Total LBS</v>
      </c>
      <c r="H98" s="12">
        <f>B98</f>
        <v>0</v>
      </c>
      <c r="J98" s="13">
        <f>J96+J97</f>
        <v>0</v>
      </c>
      <c r="K98" s="13">
        <f>J98-D98</f>
        <v>0</v>
      </c>
    </row>
    <row r="99" spans="1:11" x14ac:dyDescent="0.3">
      <c r="A99" s="1" t="s">
        <v>112</v>
      </c>
      <c r="B99" s="12">
        <f>B93+B98</f>
        <v>2411</v>
      </c>
      <c r="D99" s="13">
        <f>D93+D98</f>
        <v>16363</v>
      </c>
      <c r="E99" s="3"/>
      <c r="F99" t="str">
        <f>A99</f>
        <v xml:space="preserve">  Total Sales with LBS</v>
      </c>
      <c r="H99" s="12">
        <f>B99</f>
        <v>2411</v>
      </c>
      <c r="J99" s="13">
        <f>J93+J98</f>
        <v>16363</v>
      </c>
      <c r="K99" s="13">
        <f>J99-D99</f>
        <v>0</v>
      </c>
    </row>
    <row r="100" spans="1:11" x14ac:dyDescent="0.3">
      <c r="E100" s="3"/>
    </row>
    <row r="101" spans="1:11" x14ac:dyDescent="0.3">
      <c r="A101" s="1" t="s">
        <v>89</v>
      </c>
      <c r="B101">
        <v>6736</v>
      </c>
      <c r="C101" s="7">
        <v>70</v>
      </c>
      <c r="D101" s="3">
        <f>ROUND(C101*B101/1000,0)</f>
        <v>472</v>
      </c>
      <c r="E101" s="3"/>
      <c r="F101" t="str">
        <f t="shared" ref="F101:F108" si="14">A101</f>
        <v xml:space="preserve">  Transportation Bills  </v>
      </c>
      <c r="H101">
        <f t="shared" ref="H101:I103" si="15">B101</f>
        <v>6736</v>
      </c>
      <c r="I101" s="5">
        <f t="shared" si="15"/>
        <v>70</v>
      </c>
      <c r="J101" s="3">
        <f>ROUND(I101*H101/1000,0)</f>
        <v>472</v>
      </c>
      <c r="K101" s="3">
        <f>J101-$D101</f>
        <v>0</v>
      </c>
    </row>
    <row r="102" spans="1:11" x14ac:dyDescent="0.3">
      <c r="A102" s="22" t="s">
        <v>90</v>
      </c>
      <c r="B102">
        <v>3231</v>
      </c>
      <c r="C102" s="8">
        <v>1.2351000000000001</v>
      </c>
      <c r="D102">
        <f>ROUND(C102*B102,0)</f>
        <v>3991</v>
      </c>
      <c r="E102" s="3"/>
      <c r="F102" t="str">
        <f t="shared" si="14"/>
        <v xml:space="preserve">     Transportation-Intra</v>
      </c>
      <c r="H102">
        <f t="shared" si="15"/>
        <v>3231</v>
      </c>
      <c r="I102" s="6">
        <f t="shared" si="15"/>
        <v>1.2351000000000001</v>
      </c>
      <c r="J102">
        <f>ROUND(I102*H102,0)</f>
        <v>3991</v>
      </c>
      <c r="K102">
        <f>J102-D102</f>
        <v>0</v>
      </c>
    </row>
    <row r="103" spans="1:11" x14ac:dyDescent="0.3">
      <c r="A103" s="22" t="s">
        <v>91</v>
      </c>
      <c r="B103">
        <v>437</v>
      </c>
      <c r="C103" s="8">
        <v>1.3109</v>
      </c>
      <c r="D103">
        <f>ROUND(C103*B103,0)</f>
        <v>573</v>
      </c>
      <c r="E103" s="3"/>
      <c r="F103" t="str">
        <f t="shared" si="14"/>
        <v xml:space="preserve">     Transportation-Inter</v>
      </c>
      <c r="H103">
        <f t="shared" si="15"/>
        <v>437</v>
      </c>
      <c r="I103" s="6">
        <f t="shared" si="15"/>
        <v>1.3109</v>
      </c>
      <c r="J103">
        <f>ROUND(I103*H103,0)</f>
        <v>573</v>
      </c>
      <c r="K103">
        <f>J103-D103</f>
        <v>0</v>
      </c>
    </row>
    <row r="104" spans="1:11" x14ac:dyDescent="0.3">
      <c r="A104" s="22" t="s">
        <v>113</v>
      </c>
      <c r="E104" s="3"/>
      <c r="F104" t="str">
        <f t="shared" si="14"/>
        <v xml:space="preserve">     Transportation-LBS   </v>
      </c>
    </row>
    <row r="105" spans="1:11" x14ac:dyDescent="0.3">
      <c r="A105" s="1" t="s">
        <v>114</v>
      </c>
      <c r="B105">
        <v>0</v>
      </c>
      <c r="C105" s="8">
        <v>0.4219</v>
      </c>
      <c r="D105" s="3">
        <f>ROUND(C105*B105,0)</f>
        <v>0</v>
      </c>
      <c r="E105" s="3"/>
      <c r="F105" t="str">
        <f t="shared" si="14"/>
        <v xml:space="preserve">          Demand (BDU)</v>
      </c>
      <c r="H105">
        <f>B105</f>
        <v>0</v>
      </c>
      <c r="I105" s="6">
        <f>C105</f>
        <v>0.4219</v>
      </c>
      <c r="J105" s="3">
        <f>ROUND(I105*H105,0)</f>
        <v>0</v>
      </c>
    </row>
    <row r="106" spans="1:11" x14ac:dyDescent="0.3">
      <c r="A106" s="1" t="s">
        <v>115</v>
      </c>
      <c r="B106">
        <v>13</v>
      </c>
      <c r="C106" s="8">
        <v>0.63090000000000002</v>
      </c>
      <c r="D106">
        <f>ROUND(C106*B106,0)</f>
        <v>8</v>
      </c>
      <c r="E106" s="3"/>
      <c r="F106" t="str">
        <f t="shared" si="14"/>
        <v xml:space="preserve">          Commodity</v>
      </c>
      <c r="H106">
        <f>B106</f>
        <v>13</v>
      </c>
      <c r="I106" s="6">
        <f>C106</f>
        <v>0.63090000000000002</v>
      </c>
      <c r="J106">
        <f>ROUND(I106*H106,0)</f>
        <v>8</v>
      </c>
    </row>
    <row r="107" spans="1:11" x14ac:dyDescent="0.3">
      <c r="A107" s="1" t="s">
        <v>116</v>
      </c>
      <c r="B107" s="12">
        <f>B106</f>
        <v>13</v>
      </c>
      <c r="D107" s="13">
        <f>D105+D106</f>
        <v>8</v>
      </c>
      <c r="E107" s="3"/>
      <c r="F107" t="str">
        <f t="shared" si="14"/>
        <v xml:space="preserve">      Total Trans. LBS</v>
      </c>
      <c r="H107" s="12">
        <f>H106</f>
        <v>13</v>
      </c>
      <c r="J107" s="13">
        <f>J105+J106</f>
        <v>8</v>
      </c>
      <c r="K107" s="13">
        <f>J107-D107</f>
        <v>0</v>
      </c>
    </row>
    <row r="108" spans="1:11" x14ac:dyDescent="0.3">
      <c r="A108" s="1" t="s">
        <v>117</v>
      </c>
      <c r="B108" s="12">
        <f>B103+B102+B107</f>
        <v>3681</v>
      </c>
      <c r="D108" s="13">
        <f>SUM(D101:D103)+D107</f>
        <v>5044</v>
      </c>
      <c r="E108" s="3"/>
      <c r="F108" t="str">
        <f t="shared" si="14"/>
        <v xml:space="preserve">  Total Trans. with LBS</v>
      </c>
      <c r="H108" s="12">
        <f>H103+H102+H107</f>
        <v>3681</v>
      </c>
      <c r="J108" s="13">
        <f>SUM(J101:J103)+J107</f>
        <v>5044</v>
      </c>
      <c r="K108" s="13">
        <f>J108-D108</f>
        <v>0</v>
      </c>
    </row>
    <row r="109" spans="1:11" x14ac:dyDescent="0.3">
      <c r="E109" s="3"/>
    </row>
    <row r="110" spans="1:11" x14ac:dyDescent="0.3">
      <c r="A110" s="1" t="s">
        <v>86</v>
      </c>
      <c r="B110" s="12">
        <f>B99+B108</f>
        <v>6092</v>
      </c>
      <c r="C110" s="8"/>
      <c r="D110" s="13">
        <f>D99+D108</f>
        <v>21407</v>
      </c>
      <c r="E110" s="3"/>
      <c r="F110" t="str">
        <f>A110</f>
        <v xml:space="preserve">  Total</v>
      </c>
      <c r="H110" s="12">
        <f>H99+H108</f>
        <v>6092</v>
      </c>
      <c r="I110" s="8"/>
      <c r="J110" s="13">
        <f>J99+J108</f>
        <v>21407</v>
      </c>
      <c r="K110" s="13">
        <f>J110-D110</f>
        <v>0</v>
      </c>
    </row>
    <row r="111" spans="1:11" x14ac:dyDescent="0.3">
      <c r="C111" s="8"/>
      <c r="D111" s="3"/>
      <c r="E111" s="3"/>
      <c r="I111" s="8"/>
      <c r="J111" s="3"/>
      <c r="K111" s="3"/>
    </row>
    <row r="112" spans="1:11" x14ac:dyDescent="0.3">
      <c r="E112" s="3"/>
    </row>
    <row r="113" spans="1:11" x14ac:dyDescent="0.3">
      <c r="A113" s="4" t="s">
        <v>118</v>
      </c>
      <c r="C113" s="8"/>
      <c r="D113" s="3"/>
      <c r="E113" s="3"/>
      <c r="F113" s="4" t="str">
        <f t="shared" ref="F113:F118" si="16">A113</f>
        <v>SMALL VIS</v>
      </c>
      <c r="J113" s="3"/>
      <c r="K113" s="3"/>
    </row>
    <row r="114" spans="1:11" x14ac:dyDescent="0.3">
      <c r="A114" s="1" t="s">
        <v>83</v>
      </c>
      <c r="B114">
        <v>1761</v>
      </c>
      <c r="C114" s="7">
        <v>68.5</v>
      </c>
      <c r="D114" s="3">
        <f>ROUND(C114*B114/1000,0)</f>
        <v>121</v>
      </c>
      <c r="E114" s="3"/>
      <c r="F114" t="str">
        <f t="shared" si="16"/>
        <v xml:space="preserve"> Bills</v>
      </c>
      <c r="H114">
        <f>B114</f>
        <v>1761</v>
      </c>
      <c r="I114" s="5">
        <f>C114</f>
        <v>68.5</v>
      </c>
      <c r="J114" s="3">
        <f>ROUND(I114*H114/1000,0)</f>
        <v>121</v>
      </c>
    </row>
    <row r="115" spans="1:11" x14ac:dyDescent="0.3">
      <c r="A115" s="1" t="s">
        <v>94</v>
      </c>
      <c r="B115">
        <v>55</v>
      </c>
      <c r="C115" s="8">
        <v>6.5739000000000001</v>
      </c>
      <c r="D115">
        <f>ROUND(C115*B115,0)</f>
        <v>362</v>
      </c>
      <c r="E115" s="3"/>
      <c r="F115" t="str">
        <f t="shared" si="16"/>
        <v xml:space="preserve"> All Consumption</v>
      </c>
      <c r="H115">
        <f>B115</f>
        <v>55</v>
      </c>
      <c r="I115" s="6">
        <f>C115</f>
        <v>6.5739000000000001</v>
      </c>
      <c r="J115">
        <f>ROUND(I115*H115,0)</f>
        <v>362</v>
      </c>
      <c r="K115" s="3"/>
    </row>
    <row r="116" spans="1:11" x14ac:dyDescent="0.3">
      <c r="A116" s="1" t="s">
        <v>86</v>
      </c>
      <c r="B116" s="12">
        <f>SUM(B115)</f>
        <v>55</v>
      </c>
      <c r="C116" s="8"/>
      <c r="D116" s="13">
        <f>SUM(D114:D115)</f>
        <v>483</v>
      </c>
      <c r="E116" s="3"/>
      <c r="F116" t="str">
        <f t="shared" si="16"/>
        <v xml:space="preserve">  Total</v>
      </c>
      <c r="H116" s="12">
        <f>SUM(H115)</f>
        <v>55</v>
      </c>
      <c r="J116" s="13">
        <f>SUM(J114:J115)</f>
        <v>483</v>
      </c>
    </row>
    <row r="117" spans="1:11" x14ac:dyDescent="0.3">
      <c r="A117" s="1" t="s">
        <v>87</v>
      </c>
      <c r="C117" s="30">
        <v>0.99618251999999996</v>
      </c>
      <c r="D117">
        <f>ROUND((C117-1)*D116,0)</f>
        <v>-2</v>
      </c>
      <c r="E117" s="3"/>
      <c r="F117" t="str">
        <f t="shared" si="16"/>
        <v xml:space="preserve">  Revenue Adjustment</v>
      </c>
      <c r="I117" s="30">
        <f>C117</f>
        <v>0.99618251999999996</v>
      </c>
      <c r="J117">
        <f>ROUND((I117-1)*J116,0)</f>
        <v>-2</v>
      </c>
    </row>
    <row r="118" spans="1:11" x14ac:dyDescent="0.3">
      <c r="A118" s="1" t="s">
        <v>119</v>
      </c>
      <c r="B118" s="12">
        <f>B116</f>
        <v>55</v>
      </c>
      <c r="D118" s="13">
        <f>D116+D117</f>
        <v>481</v>
      </c>
      <c r="E118" s="3"/>
      <c r="F118" t="str">
        <f t="shared" si="16"/>
        <v xml:space="preserve"> Sub-Total</v>
      </c>
      <c r="H118" s="12">
        <f>H116</f>
        <v>55</v>
      </c>
      <c r="I118" s="8"/>
      <c r="J118" s="13">
        <f>J116+J117</f>
        <v>481</v>
      </c>
      <c r="K118" s="13">
        <f>J118-D118</f>
        <v>0</v>
      </c>
    </row>
    <row r="119" spans="1:11" x14ac:dyDescent="0.3">
      <c r="A119" s="1"/>
      <c r="B119" s="18"/>
      <c r="D119" s="21"/>
      <c r="E119" s="3"/>
      <c r="H119" s="18"/>
      <c r="I119" s="8"/>
      <c r="J119" s="21"/>
      <c r="K119" s="21"/>
    </row>
    <row r="120" spans="1:11" x14ac:dyDescent="0.3">
      <c r="A120" s="1" t="s">
        <v>89</v>
      </c>
      <c r="B120">
        <v>59</v>
      </c>
      <c r="C120" s="7">
        <v>70</v>
      </c>
      <c r="D120" s="3">
        <f>ROUND(C120*B120/1000,0)</f>
        <v>4</v>
      </c>
      <c r="E120" s="3"/>
      <c r="F120" t="str">
        <f>A120</f>
        <v xml:space="preserve">  Transportation Bills  </v>
      </c>
      <c r="H120">
        <f t="shared" ref="H120:I122" si="17">B120</f>
        <v>59</v>
      </c>
      <c r="I120" s="5">
        <f t="shared" si="17"/>
        <v>70</v>
      </c>
      <c r="J120" s="3">
        <f>ROUND(I120*H120/1000,0)</f>
        <v>4</v>
      </c>
      <c r="K120" s="3">
        <f>J120-$D120</f>
        <v>0</v>
      </c>
    </row>
    <row r="121" spans="1:11" x14ac:dyDescent="0.3">
      <c r="A121" s="22" t="s">
        <v>90</v>
      </c>
      <c r="B121">
        <v>9</v>
      </c>
      <c r="C121" s="8">
        <v>2.2482000000000002</v>
      </c>
      <c r="D121">
        <f>ROUND(C121*B121,0)</f>
        <v>20</v>
      </c>
      <c r="E121" s="3"/>
      <c r="F121" t="str">
        <f>A121</f>
        <v xml:space="preserve">     Transportation-Intra</v>
      </c>
      <c r="H121">
        <f t="shared" si="17"/>
        <v>9</v>
      </c>
      <c r="I121" s="6">
        <f t="shared" si="17"/>
        <v>2.2482000000000002</v>
      </c>
      <c r="J121">
        <f>ROUND(I121*H121,0)</f>
        <v>20</v>
      </c>
      <c r="K121">
        <f>J121-D121</f>
        <v>0</v>
      </c>
    </row>
    <row r="122" spans="1:11" x14ac:dyDescent="0.3">
      <c r="A122" s="22" t="s">
        <v>91</v>
      </c>
      <c r="B122">
        <v>0</v>
      </c>
      <c r="C122" s="8">
        <v>2.2482000000000002</v>
      </c>
      <c r="D122">
        <f>ROUND(C122*B122,0)</f>
        <v>0</v>
      </c>
      <c r="E122" s="3"/>
      <c r="F122" t="str">
        <f>A122</f>
        <v xml:space="preserve">     Transportation-Inter</v>
      </c>
      <c r="H122">
        <f t="shared" si="17"/>
        <v>0</v>
      </c>
      <c r="I122" s="6">
        <f t="shared" si="17"/>
        <v>2.2482000000000002</v>
      </c>
      <c r="J122">
        <f>ROUND(I122*H122,0)</f>
        <v>0</v>
      </c>
      <c r="K122">
        <f>J122-D122</f>
        <v>0</v>
      </c>
    </row>
    <row r="123" spans="1:11" x14ac:dyDescent="0.3">
      <c r="A123" s="1" t="s">
        <v>92</v>
      </c>
      <c r="B123" s="12">
        <f>B122+B121</f>
        <v>9</v>
      </c>
      <c r="D123" s="13">
        <f>SUM(D120:D122)</f>
        <v>24</v>
      </c>
      <c r="E123" s="3"/>
      <c r="F123" t="str">
        <f>A123</f>
        <v xml:space="preserve">  Total Transportation</v>
      </c>
      <c r="H123" s="12">
        <f>H122+H121</f>
        <v>9</v>
      </c>
      <c r="J123" s="13">
        <f>SUM(J120:J122)</f>
        <v>24</v>
      </c>
      <c r="K123" s="13">
        <f>J123-D123</f>
        <v>0</v>
      </c>
    </row>
    <row r="124" spans="1:11" x14ac:dyDescent="0.3">
      <c r="E124" s="3"/>
    </row>
    <row r="125" spans="1:11" x14ac:dyDescent="0.3">
      <c r="A125" s="1" t="s">
        <v>86</v>
      </c>
      <c r="B125" s="12">
        <f>B118+B123</f>
        <v>64</v>
      </c>
      <c r="C125" s="8"/>
      <c r="D125" s="13">
        <f>D118+D123</f>
        <v>505</v>
      </c>
      <c r="E125" s="3"/>
      <c r="F125" t="str">
        <f>A125</f>
        <v xml:space="preserve">  Total</v>
      </c>
      <c r="H125" s="12">
        <f>H118+H123</f>
        <v>64</v>
      </c>
      <c r="I125" s="8"/>
      <c r="J125" s="13">
        <f>J118+J123</f>
        <v>505</v>
      </c>
      <c r="K125" s="13">
        <f>J125-D125</f>
        <v>0</v>
      </c>
    </row>
    <row r="126" spans="1:11" x14ac:dyDescent="0.3">
      <c r="A126" s="1"/>
      <c r="B126" s="18"/>
      <c r="C126" s="8"/>
      <c r="D126" s="21"/>
      <c r="E126" s="3"/>
      <c r="H126" s="18"/>
      <c r="I126" s="8"/>
      <c r="J126" s="21"/>
      <c r="K126" s="21"/>
    </row>
    <row r="127" spans="1:11" x14ac:dyDescent="0.3">
      <c r="E127" s="3"/>
    </row>
    <row r="128" spans="1:11" x14ac:dyDescent="0.3">
      <c r="A128" s="4" t="s">
        <v>120</v>
      </c>
      <c r="C128" s="8"/>
      <c r="D128" s="3"/>
      <c r="E128" s="3"/>
      <c r="F128" s="4" t="str">
        <f t="shared" ref="F128:F135" si="18">A128</f>
        <v>INTERMEDIATE VIS</v>
      </c>
      <c r="J128" s="3"/>
      <c r="K128" s="3"/>
    </row>
    <row r="129" spans="1:11" x14ac:dyDescent="0.3">
      <c r="A129" s="1" t="s">
        <v>83</v>
      </c>
      <c r="B129">
        <v>4414</v>
      </c>
      <c r="C129" s="7">
        <v>150</v>
      </c>
      <c r="D129" s="3">
        <f>ROUND(C129*B129/1000,0)</f>
        <v>662</v>
      </c>
      <c r="E129" s="3"/>
      <c r="F129" t="str">
        <f t="shared" si="18"/>
        <v xml:space="preserve"> Bills</v>
      </c>
      <c r="H129">
        <f t="shared" ref="H129:I132" si="19">B129</f>
        <v>4414</v>
      </c>
      <c r="I129" s="5">
        <f t="shared" si="19"/>
        <v>150</v>
      </c>
      <c r="J129" s="3">
        <f>ROUND(I129*H129/1000,0)</f>
        <v>662</v>
      </c>
    </row>
    <row r="130" spans="1:11" x14ac:dyDescent="0.3">
      <c r="A130" s="1" t="s">
        <v>121</v>
      </c>
      <c r="B130">
        <v>97</v>
      </c>
      <c r="C130" s="8">
        <v>6.0183</v>
      </c>
      <c r="D130">
        <f>ROUND(C130*B130,0)</f>
        <v>584</v>
      </c>
      <c r="E130" s="3"/>
      <c r="F130" t="str">
        <f t="shared" si="18"/>
        <v xml:space="preserve"> First    100 Mcf</v>
      </c>
      <c r="H130">
        <f t="shared" si="19"/>
        <v>97</v>
      </c>
      <c r="I130" s="6">
        <f t="shared" si="19"/>
        <v>6.0183</v>
      </c>
      <c r="J130">
        <f>ROUND(I130*H130,0)</f>
        <v>584</v>
      </c>
      <c r="K130" s="3"/>
    </row>
    <row r="131" spans="1:11" x14ac:dyDescent="0.3">
      <c r="A131" s="1" t="s">
        <v>122</v>
      </c>
      <c r="B131">
        <v>201</v>
      </c>
      <c r="C131" s="8">
        <v>5.6337999999999999</v>
      </c>
      <c r="D131">
        <f>ROUND(C131*B131,0)</f>
        <v>1132</v>
      </c>
      <c r="E131" s="3"/>
      <c r="F131" t="str">
        <f t="shared" si="18"/>
        <v xml:space="preserve"> Next  1,900 Mcf</v>
      </c>
      <c r="H131">
        <f t="shared" si="19"/>
        <v>201</v>
      </c>
      <c r="I131" s="6">
        <f t="shared" si="19"/>
        <v>5.6337999999999999</v>
      </c>
      <c r="J131">
        <f>ROUND(I131*H131,0)</f>
        <v>1132</v>
      </c>
    </row>
    <row r="132" spans="1:11" x14ac:dyDescent="0.3">
      <c r="A132" s="1" t="s">
        <v>106</v>
      </c>
      <c r="B132">
        <v>16</v>
      </c>
      <c r="C132" s="8">
        <v>5.3327</v>
      </c>
      <c r="D132">
        <f>ROUND(C132*B132,0)</f>
        <v>85</v>
      </c>
      <c r="E132" s="3"/>
      <c r="F132" t="str">
        <f t="shared" si="18"/>
        <v xml:space="preserve"> Over  2,000 Mcf</v>
      </c>
      <c r="H132">
        <f t="shared" si="19"/>
        <v>16</v>
      </c>
      <c r="I132" s="6">
        <f t="shared" si="19"/>
        <v>5.3327</v>
      </c>
      <c r="J132">
        <f>ROUND(I132*H132,0)</f>
        <v>85</v>
      </c>
    </row>
    <row r="133" spans="1:11" x14ac:dyDescent="0.3">
      <c r="A133" s="1" t="s">
        <v>86</v>
      </c>
      <c r="B133" s="12">
        <f>SUM(B130:B132)</f>
        <v>314</v>
      </c>
      <c r="C133" s="8"/>
      <c r="D133" s="13">
        <f>SUM(D129:D132)</f>
        <v>2463</v>
      </c>
      <c r="E133" s="3"/>
      <c r="F133" t="str">
        <f t="shared" si="18"/>
        <v xml:space="preserve">  Total</v>
      </c>
      <c r="H133" s="12">
        <f>SUM(H130:H132)</f>
        <v>314</v>
      </c>
      <c r="J133" s="13">
        <f>SUM(J129:J132)</f>
        <v>2463</v>
      </c>
    </row>
    <row r="134" spans="1:11" x14ac:dyDescent="0.3">
      <c r="A134" s="1" t="s">
        <v>87</v>
      </c>
      <c r="C134" s="30">
        <v>0.99716307999999998</v>
      </c>
      <c r="D134">
        <f>ROUND((C134-1)*D133,0)</f>
        <v>-7</v>
      </c>
      <c r="E134" s="3"/>
      <c r="F134" t="str">
        <f t="shared" si="18"/>
        <v xml:space="preserve">  Revenue Adjustment</v>
      </c>
      <c r="I134" s="30">
        <f>C134</f>
        <v>0.99716307999999998</v>
      </c>
      <c r="J134">
        <f>ROUND((I134-1)*J133,0)</f>
        <v>-7</v>
      </c>
    </row>
    <row r="135" spans="1:11" x14ac:dyDescent="0.3">
      <c r="A135" s="1" t="s">
        <v>107</v>
      </c>
      <c r="B135" s="12">
        <f>B133</f>
        <v>314</v>
      </c>
      <c r="D135" s="13">
        <f>D133+D134</f>
        <v>2456</v>
      </c>
      <c r="E135" s="3"/>
      <c r="F135" t="str">
        <f t="shared" si="18"/>
        <v xml:space="preserve">  Total Sales Before LBS</v>
      </c>
      <c r="H135" s="12">
        <f>H133</f>
        <v>314</v>
      </c>
      <c r="I135" s="8"/>
      <c r="J135" s="13">
        <f>J133+J134</f>
        <v>2456</v>
      </c>
      <c r="K135" s="13">
        <f>J135-D135</f>
        <v>0</v>
      </c>
    </row>
    <row r="136" spans="1:11" x14ac:dyDescent="0.3">
      <c r="A136" s="1"/>
      <c r="B136" s="18"/>
      <c r="D136" s="21"/>
      <c r="E136" s="3"/>
      <c r="F136" s="1"/>
      <c r="H136" s="18"/>
      <c r="I136" s="8"/>
      <c r="J136" s="21"/>
      <c r="K136" s="21"/>
    </row>
    <row r="137" spans="1:11" x14ac:dyDescent="0.3">
      <c r="A137" s="1" t="s">
        <v>108</v>
      </c>
      <c r="E137" s="3"/>
      <c r="F137" t="str">
        <f>A137</f>
        <v xml:space="preserve">  Load Balancing Sales Service</v>
      </c>
    </row>
    <row r="138" spans="1:11" x14ac:dyDescent="0.3">
      <c r="A138" s="1" t="s">
        <v>109</v>
      </c>
      <c r="B138">
        <v>15</v>
      </c>
      <c r="C138" s="8">
        <v>1.3846000000000001</v>
      </c>
      <c r="D138" s="3">
        <f>ROUND(C138*B138,0)</f>
        <v>21</v>
      </c>
      <c r="E138" s="3"/>
      <c r="F138" t="str">
        <f>A138</f>
        <v xml:space="preserve">       Demand (BDU)</v>
      </c>
      <c r="H138">
        <f>B138</f>
        <v>15</v>
      </c>
      <c r="I138" s="6">
        <f>C138</f>
        <v>1.3846000000000001</v>
      </c>
      <c r="J138" s="3">
        <f>ROUND(I138*H138,0)</f>
        <v>21</v>
      </c>
    </row>
    <row r="139" spans="1:11" x14ac:dyDescent="0.3">
      <c r="A139" s="1" t="s">
        <v>110</v>
      </c>
      <c r="B139">
        <v>15</v>
      </c>
      <c r="C139" s="8">
        <v>3.0377000000000001</v>
      </c>
      <c r="D139">
        <f>ROUND(C139*B139,0)</f>
        <v>46</v>
      </c>
      <c r="E139" s="3"/>
      <c r="F139" t="str">
        <f>A139</f>
        <v xml:space="preserve">       Commodity</v>
      </c>
      <c r="H139">
        <f>B139</f>
        <v>15</v>
      </c>
      <c r="I139" s="6">
        <f>C139</f>
        <v>3.0377000000000001</v>
      </c>
      <c r="J139">
        <f>ROUND(I139*H139,0)</f>
        <v>46</v>
      </c>
    </row>
    <row r="140" spans="1:11" x14ac:dyDescent="0.3">
      <c r="A140" s="1" t="s">
        <v>111</v>
      </c>
      <c r="B140" s="12">
        <f>B139</f>
        <v>15</v>
      </c>
      <c r="D140" s="13">
        <f>D138+D139</f>
        <v>67</v>
      </c>
      <c r="E140" s="3"/>
      <c r="F140" t="str">
        <f>A140</f>
        <v xml:space="preserve">  Total LBS</v>
      </c>
      <c r="H140" s="12">
        <f>B140</f>
        <v>15</v>
      </c>
      <c r="J140" s="13">
        <f>J138+J139</f>
        <v>67</v>
      </c>
      <c r="K140" s="13">
        <f>J140-D140</f>
        <v>0</v>
      </c>
    </row>
    <row r="141" spans="1:11" x14ac:dyDescent="0.3">
      <c r="A141" s="1" t="s">
        <v>112</v>
      </c>
      <c r="B141" s="12">
        <f>B135+B140</f>
        <v>329</v>
      </c>
      <c r="D141" s="13">
        <f>D135+D140</f>
        <v>2523</v>
      </c>
      <c r="E141" s="3"/>
      <c r="F141" t="str">
        <f>A141</f>
        <v xml:space="preserve">  Total Sales with LBS</v>
      </c>
      <c r="H141" s="12">
        <f>B141</f>
        <v>329</v>
      </c>
      <c r="J141" s="13">
        <f>J135+J140</f>
        <v>2523</v>
      </c>
      <c r="K141" s="13">
        <f>J141-D141</f>
        <v>0</v>
      </c>
    </row>
    <row r="142" spans="1:11" x14ac:dyDescent="0.3">
      <c r="E142" s="3"/>
    </row>
    <row r="143" spans="1:11" x14ac:dyDescent="0.3">
      <c r="A143" s="1" t="s">
        <v>123</v>
      </c>
      <c r="B143">
        <v>3086</v>
      </c>
      <c r="C143" s="7">
        <v>70</v>
      </c>
      <c r="D143" s="3">
        <f>ROUND(C143*B143/1000,0)</f>
        <v>216</v>
      </c>
      <c r="E143" s="3"/>
      <c r="F143" t="str">
        <f>A143</f>
        <v xml:space="preserve">  Transportation Bills</v>
      </c>
      <c r="H143">
        <f t="shared" ref="H143:I145" si="20">B143</f>
        <v>3086</v>
      </c>
      <c r="I143" s="5">
        <f t="shared" si="20"/>
        <v>70</v>
      </c>
      <c r="J143" s="3">
        <f>ROUND(I143*H143/1000,0)</f>
        <v>216</v>
      </c>
      <c r="K143" s="3">
        <f>J143-D143</f>
        <v>0</v>
      </c>
    </row>
    <row r="144" spans="1:11" x14ac:dyDescent="0.3">
      <c r="A144" s="22" t="s">
        <v>124</v>
      </c>
      <c r="B144">
        <v>2694</v>
      </c>
      <c r="C144" s="8">
        <v>1.2019</v>
      </c>
      <c r="D144">
        <f>ROUND(C144*B144,0)</f>
        <v>3238</v>
      </c>
      <c r="E144" s="3"/>
      <c r="F144" t="s">
        <v>125</v>
      </c>
      <c r="H144">
        <f t="shared" si="20"/>
        <v>2694</v>
      </c>
      <c r="I144" s="6">
        <f t="shared" si="20"/>
        <v>1.2019</v>
      </c>
      <c r="J144">
        <f>ROUND(I144*H144,0)</f>
        <v>3238</v>
      </c>
      <c r="K144">
        <f>J144-D144</f>
        <v>0</v>
      </c>
    </row>
    <row r="145" spans="1:11" x14ac:dyDescent="0.3">
      <c r="A145" s="22" t="s">
        <v>91</v>
      </c>
      <c r="B145">
        <v>256</v>
      </c>
      <c r="C145" s="8">
        <v>1.2854000000000001</v>
      </c>
      <c r="D145">
        <f>ROUND(C145*B145,0)</f>
        <v>329</v>
      </c>
      <c r="E145" s="3"/>
      <c r="F145" t="str">
        <f t="shared" ref="F145:F150" si="21">A145</f>
        <v xml:space="preserve">     Transportation-Inter</v>
      </c>
      <c r="H145">
        <f t="shared" si="20"/>
        <v>256</v>
      </c>
      <c r="I145" s="6">
        <f t="shared" si="20"/>
        <v>1.2854000000000001</v>
      </c>
      <c r="J145">
        <f>ROUND(I145*H145,0)</f>
        <v>329</v>
      </c>
      <c r="K145" s="3">
        <f>J145-D145</f>
        <v>0</v>
      </c>
    </row>
    <row r="146" spans="1:11" x14ac:dyDescent="0.3">
      <c r="A146" s="22" t="s">
        <v>113</v>
      </c>
      <c r="E146" s="3"/>
      <c r="F146" t="str">
        <f t="shared" si="21"/>
        <v xml:space="preserve">     Transportation-LBS   </v>
      </c>
    </row>
    <row r="147" spans="1:11" x14ac:dyDescent="0.3">
      <c r="A147" s="1" t="s">
        <v>114</v>
      </c>
      <c r="B147">
        <v>0</v>
      </c>
      <c r="C147" s="8">
        <v>0.48270000000000002</v>
      </c>
      <c r="D147" s="3">
        <f>ROUND(C147*B147,0)</f>
        <v>0</v>
      </c>
      <c r="E147" s="3"/>
      <c r="F147" t="str">
        <f t="shared" si="21"/>
        <v xml:space="preserve">          Demand (BDU)</v>
      </c>
      <c r="H147">
        <f>B147</f>
        <v>0</v>
      </c>
      <c r="I147" s="6">
        <f>C147</f>
        <v>0.48270000000000002</v>
      </c>
      <c r="J147" s="3">
        <f>ROUND(I147*H147,0)</f>
        <v>0</v>
      </c>
    </row>
    <row r="148" spans="1:11" x14ac:dyDescent="0.3">
      <c r="A148" s="1" t="s">
        <v>115</v>
      </c>
      <c r="B148">
        <v>170</v>
      </c>
      <c r="C148" s="8">
        <v>0.57269999999999999</v>
      </c>
      <c r="D148">
        <f>ROUND(C148*B148,0)</f>
        <v>97</v>
      </c>
      <c r="E148" s="3"/>
      <c r="F148" t="str">
        <f t="shared" si="21"/>
        <v xml:space="preserve">          Commodity</v>
      </c>
      <c r="H148">
        <f>B148</f>
        <v>170</v>
      </c>
      <c r="I148" s="6">
        <f>C148</f>
        <v>0.57269999999999999</v>
      </c>
      <c r="J148">
        <f>ROUND(I148*H148,0)</f>
        <v>97</v>
      </c>
    </row>
    <row r="149" spans="1:11" x14ac:dyDescent="0.3">
      <c r="A149" s="1" t="s">
        <v>116</v>
      </c>
      <c r="B149" s="12">
        <f>B148</f>
        <v>170</v>
      </c>
      <c r="D149" s="13">
        <f>D147+D148</f>
        <v>97</v>
      </c>
      <c r="E149" s="3"/>
      <c r="F149" t="str">
        <f t="shared" si="21"/>
        <v xml:space="preserve">      Total Trans. LBS</v>
      </c>
      <c r="H149" s="12">
        <f>H148</f>
        <v>170</v>
      </c>
      <c r="J149" s="13">
        <f>J147+J148</f>
        <v>97</v>
      </c>
      <c r="K149" s="13">
        <f>J149-D149</f>
        <v>0</v>
      </c>
    </row>
    <row r="150" spans="1:11" x14ac:dyDescent="0.3">
      <c r="A150" s="1" t="s">
        <v>117</v>
      </c>
      <c r="B150" s="12">
        <f>B145+B144+B149</f>
        <v>3120</v>
      </c>
      <c r="D150" s="13">
        <f>SUM(D143:D145)+D149</f>
        <v>3880</v>
      </c>
      <c r="E150" s="3"/>
      <c r="F150" t="str">
        <f t="shared" si="21"/>
        <v xml:space="preserve">  Total Trans. with LBS</v>
      </c>
      <c r="H150" s="12">
        <f>H145+H144+H149</f>
        <v>3120</v>
      </c>
      <c r="J150" s="13">
        <f>SUM(J143:J145)+J149</f>
        <v>3880</v>
      </c>
      <c r="K150" s="13">
        <f>J150-D150</f>
        <v>0</v>
      </c>
    </row>
    <row r="151" spans="1:11" x14ac:dyDescent="0.3">
      <c r="E151" s="3"/>
    </row>
    <row r="152" spans="1:11" x14ac:dyDescent="0.3">
      <c r="A152" s="1" t="s">
        <v>86</v>
      </c>
      <c r="B152" s="12">
        <f>B141+B150</f>
        <v>3449</v>
      </c>
      <c r="C152" s="8"/>
      <c r="D152" s="13">
        <f>D141+D150</f>
        <v>6403</v>
      </c>
      <c r="E152" s="3"/>
      <c r="F152" t="str">
        <f>A152</f>
        <v xml:space="preserve">  Total</v>
      </c>
      <c r="H152" s="12">
        <f>H141+H150</f>
        <v>3449</v>
      </c>
      <c r="I152" s="8"/>
      <c r="J152" s="13">
        <f>J141+J150</f>
        <v>6403</v>
      </c>
      <c r="K152" s="13">
        <f>J152-D152</f>
        <v>0</v>
      </c>
    </row>
    <row r="153" spans="1:11" x14ac:dyDescent="0.3">
      <c r="A153" s="1"/>
      <c r="B153" s="18"/>
      <c r="C153" s="8"/>
      <c r="D153" s="21"/>
      <c r="E153" s="3"/>
      <c r="H153" s="18"/>
      <c r="I153" s="8"/>
      <c r="J153" s="21"/>
      <c r="K153" s="21"/>
    </row>
    <row r="154" spans="1:11" x14ac:dyDescent="0.3">
      <c r="A154" t="s">
        <v>126</v>
      </c>
      <c r="C154" s="8"/>
      <c r="D154" s="3"/>
      <c r="F154" t="s">
        <v>127</v>
      </c>
      <c r="K154" s="21"/>
    </row>
    <row r="155" spans="1:11" x14ac:dyDescent="0.3">
      <c r="C155" s="8"/>
      <c r="D155" s="3"/>
      <c r="E155" s="3"/>
    </row>
    <row r="156" spans="1:11" x14ac:dyDescent="0.3">
      <c r="A156" s="4" t="s">
        <v>27</v>
      </c>
      <c r="C156" s="8"/>
      <c r="D156" s="3"/>
      <c r="E156" s="3"/>
      <c r="F156" s="4" t="str">
        <f t="shared" ref="F156:F164" si="22">A156</f>
        <v>LVIS</v>
      </c>
      <c r="J156" s="3"/>
      <c r="K156" s="3"/>
    </row>
    <row r="157" spans="1:11" x14ac:dyDescent="0.3">
      <c r="A157" s="1" t="s">
        <v>83</v>
      </c>
      <c r="B157">
        <v>612</v>
      </c>
      <c r="C157" s="7">
        <v>410</v>
      </c>
      <c r="D157" s="3">
        <f>ROUND(C157*B157/1000,0)</f>
        <v>251</v>
      </c>
      <c r="E157" s="3"/>
      <c r="F157" t="str">
        <f t="shared" si="22"/>
        <v xml:space="preserve"> Bills</v>
      </c>
      <c r="H157">
        <f t="shared" ref="H157:I161" si="23">B157</f>
        <v>612</v>
      </c>
      <c r="I157" s="5">
        <f t="shared" si="23"/>
        <v>410</v>
      </c>
      <c r="J157" s="3">
        <f>ROUND(I157*H157/1000,0)</f>
        <v>251</v>
      </c>
    </row>
    <row r="158" spans="1:11" x14ac:dyDescent="0.3">
      <c r="A158" s="1" t="s">
        <v>128</v>
      </c>
      <c r="B158">
        <v>6</v>
      </c>
      <c r="C158" s="8">
        <v>5.6665999999999999</v>
      </c>
      <c r="D158">
        <f>ROUND(C158*B158,0)</f>
        <v>34</v>
      </c>
      <c r="E158" s="3"/>
      <c r="F158" t="str">
        <f t="shared" si="22"/>
        <v xml:space="preserve"> First     100 Mcf</v>
      </c>
      <c r="H158">
        <f t="shared" si="23"/>
        <v>6</v>
      </c>
      <c r="I158" s="6">
        <f t="shared" si="23"/>
        <v>5.6665999999999999</v>
      </c>
      <c r="J158">
        <f>ROUND(I158*H158,0)</f>
        <v>34</v>
      </c>
      <c r="K158" s="3"/>
    </row>
    <row r="159" spans="1:11" x14ac:dyDescent="0.3">
      <c r="A159" s="1" t="s">
        <v>129</v>
      </c>
      <c r="B159">
        <v>35</v>
      </c>
      <c r="C159" s="8">
        <v>5.4839000000000002</v>
      </c>
      <c r="D159">
        <f>ROUND(C159*B159,0)</f>
        <v>192</v>
      </c>
      <c r="E159" s="3"/>
      <c r="F159" t="str">
        <f t="shared" si="22"/>
        <v xml:space="preserve"> Next   1,900 Mcf</v>
      </c>
      <c r="H159">
        <f t="shared" si="23"/>
        <v>35</v>
      </c>
      <c r="I159" s="6">
        <f t="shared" si="23"/>
        <v>5.4839000000000002</v>
      </c>
      <c r="J159">
        <f>ROUND(I159*H159,0)</f>
        <v>192</v>
      </c>
    </row>
    <row r="160" spans="1:11" x14ac:dyDescent="0.3">
      <c r="A160" s="1" t="s">
        <v>130</v>
      </c>
      <c r="B160">
        <v>6</v>
      </c>
      <c r="C160" s="8">
        <v>5.2740999999999998</v>
      </c>
      <c r="D160">
        <f>ROUND(C160*B160,0)</f>
        <v>32</v>
      </c>
      <c r="E160" s="3"/>
      <c r="F160" t="str">
        <f t="shared" si="22"/>
        <v xml:space="preserve"> Next 18,000 Mcf</v>
      </c>
      <c r="H160">
        <f t="shared" si="23"/>
        <v>6</v>
      </c>
      <c r="I160" s="6">
        <f t="shared" si="23"/>
        <v>5.2740999999999998</v>
      </c>
      <c r="J160">
        <f>ROUND(I160*H160,0)</f>
        <v>32</v>
      </c>
    </row>
    <row r="161" spans="1:11" x14ac:dyDescent="0.3">
      <c r="A161" s="1" t="s">
        <v>131</v>
      </c>
      <c r="B161">
        <v>0</v>
      </c>
      <c r="C161" s="8">
        <v>5.1363000000000003</v>
      </c>
      <c r="D161">
        <f>ROUND(C161*B161,0)</f>
        <v>0</v>
      </c>
      <c r="E161" s="3"/>
      <c r="F161" t="str">
        <f t="shared" si="22"/>
        <v xml:space="preserve"> Over 20,000 Mcf</v>
      </c>
      <c r="H161">
        <f t="shared" si="23"/>
        <v>0</v>
      </c>
      <c r="I161" s="6">
        <f t="shared" si="23"/>
        <v>5.1363000000000003</v>
      </c>
      <c r="J161">
        <f>ROUND(I161*H161,0)</f>
        <v>0</v>
      </c>
    </row>
    <row r="162" spans="1:11" x14ac:dyDescent="0.3">
      <c r="A162" s="1" t="s">
        <v>86</v>
      </c>
      <c r="B162" s="12">
        <f>SUM(B158:B161)</f>
        <v>47</v>
      </c>
      <c r="C162" s="8"/>
      <c r="D162" s="13">
        <f>SUM(D157:D161)</f>
        <v>509</v>
      </c>
      <c r="E162" s="3"/>
      <c r="F162" t="str">
        <f t="shared" si="22"/>
        <v xml:space="preserve">  Total</v>
      </c>
      <c r="H162" s="12">
        <f>SUM(H158:H161)</f>
        <v>47</v>
      </c>
      <c r="J162" s="13">
        <f>SUM(J157:J161)</f>
        <v>509</v>
      </c>
    </row>
    <row r="163" spans="1:11" x14ac:dyDescent="0.3">
      <c r="A163" s="1" t="s">
        <v>87</v>
      </c>
      <c r="C163" s="30">
        <v>1</v>
      </c>
      <c r="D163">
        <f>ROUND((C163-1)*D162,0)</f>
        <v>0</v>
      </c>
      <c r="E163" s="3"/>
      <c r="F163" t="str">
        <f t="shared" si="22"/>
        <v xml:space="preserve">  Revenue Adjustment</v>
      </c>
      <c r="J163">
        <v>0</v>
      </c>
    </row>
    <row r="164" spans="1:11" x14ac:dyDescent="0.3">
      <c r="A164" s="1" t="s">
        <v>132</v>
      </c>
      <c r="B164" s="12">
        <f>B162</f>
        <v>47</v>
      </c>
      <c r="D164" s="13">
        <f>D162+D163</f>
        <v>509</v>
      </c>
      <c r="E164" s="3"/>
      <c r="F164" t="str">
        <f t="shared" si="22"/>
        <v xml:space="preserve">  Total Sales before LBS</v>
      </c>
      <c r="H164" s="12">
        <f>H162</f>
        <v>47</v>
      </c>
      <c r="I164" s="8"/>
      <c r="J164" s="13">
        <f>J162+J163</f>
        <v>509</v>
      </c>
      <c r="K164" s="13">
        <f>J164-D164</f>
        <v>0</v>
      </c>
    </row>
    <row r="165" spans="1:11" x14ac:dyDescent="0.3">
      <c r="E165" s="3"/>
    </row>
    <row r="166" spans="1:11" x14ac:dyDescent="0.3">
      <c r="A166" s="1" t="s">
        <v>108</v>
      </c>
      <c r="E166" s="3"/>
      <c r="F166" t="str">
        <f>A166</f>
        <v xml:space="preserve">  Load Balancing Sales Service</v>
      </c>
    </row>
    <row r="167" spans="1:11" x14ac:dyDescent="0.3">
      <c r="A167" s="1" t="s">
        <v>109</v>
      </c>
      <c r="B167">
        <v>1</v>
      </c>
      <c r="C167" s="8">
        <v>1.2217</v>
      </c>
      <c r="D167" s="3">
        <f>ROUND(C167*B167,0)</f>
        <v>1</v>
      </c>
      <c r="E167" s="3"/>
      <c r="F167" t="str">
        <f>A167</f>
        <v xml:space="preserve">       Demand (BDU)</v>
      </c>
      <c r="H167">
        <f>B167</f>
        <v>1</v>
      </c>
      <c r="I167" s="6">
        <f>C167</f>
        <v>1.2217</v>
      </c>
      <c r="J167" s="3">
        <f>ROUND(I167*H167,0)</f>
        <v>1</v>
      </c>
    </row>
    <row r="168" spans="1:11" x14ac:dyDescent="0.3">
      <c r="A168" s="1" t="s">
        <v>110</v>
      </c>
      <c r="B168">
        <v>12</v>
      </c>
      <c r="C168" s="8">
        <v>2.9274</v>
      </c>
      <c r="D168">
        <f>ROUND(C168*B168,0)</f>
        <v>35</v>
      </c>
      <c r="E168" s="3"/>
      <c r="F168" t="str">
        <f>A168</f>
        <v xml:space="preserve">       Commodity</v>
      </c>
      <c r="H168">
        <f>B168</f>
        <v>12</v>
      </c>
      <c r="I168" s="6">
        <f>C168</f>
        <v>2.9274</v>
      </c>
      <c r="J168">
        <f>ROUND(I168*H168,0)</f>
        <v>35</v>
      </c>
    </row>
    <row r="169" spans="1:11" x14ac:dyDescent="0.3">
      <c r="A169" s="1" t="s">
        <v>111</v>
      </c>
      <c r="B169" s="12">
        <f>B168</f>
        <v>12</v>
      </c>
      <c r="D169" s="13">
        <f>D167+D168</f>
        <v>36</v>
      </c>
      <c r="E169" s="3"/>
      <c r="F169" t="str">
        <f>A169</f>
        <v xml:space="preserve">  Total LBS</v>
      </c>
      <c r="H169" s="12">
        <f>B169</f>
        <v>12</v>
      </c>
      <c r="J169" s="13">
        <f>J167+J168</f>
        <v>36</v>
      </c>
      <c r="K169" s="13">
        <f>J169-D169</f>
        <v>0</v>
      </c>
    </row>
    <row r="170" spans="1:11" x14ac:dyDescent="0.3">
      <c r="A170" s="1" t="s">
        <v>112</v>
      </c>
      <c r="B170" s="12">
        <f>B164+B169</f>
        <v>59</v>
      </c>
      <c r="D170" s="13">
        <f>D164+D169</f>
        <v>545</v>
      </c>
      <c r="E170" s="3"/>
      <c r="F170" t="str">
        <f>A170</f>
        <v xml:space="preserve">  Total Sales with LBS</v>
      </c>
      <c r="H170" s="12">
        <f>B170</f>
        <v>59</v>
      </c>
      <c r="J170" s="13">
        <f>J164+J169</f>
        <v>545</v>
      </c>
      <c r="K170" s="13">
        <f>J170-D170</f>
        <v>0</v>
      </c>
    </row>
    <row r="171" spans="1:11" x14ac:dyDescent="0.3">
      <c r="E171" s="3"/>
    </row>
    <row r="172" spans="1:11" x14ac:dyDescent="0.3">
      <c r="A172" s="1" t="s">
        <v>123</v>
      </c>
      <c r="B172">
        <v>592</v>
      </c>
      <c r="C172" s="7">
        <v>70</v>
      </c>
      <c r="D172" s="3">
        <f>ROUND(C172*B172/1000,0)</f>
        <v>41</v>
      </c>
      <c r="E172" s="3"/>
      <c r="F172" t="str">
        <f>A172</f>
        <v xml:space="preserve">  Transportation Bills</v>
      </c>
      <c r="H172">
        <f t="shared" ref="H172:I176" si="24">B172</f>
        <v>592</v>
      </c>
      <c r="I172" s="5">
        <f t="shared" si="24"/>
        <v>70</v>
      </c>
      <c r="J172" s="3">
        <f>ROUND(I172*H172/1000,0)</f>
        <v>41</v>
      </c>
      <c r="K172" s="3">
        <f>J172-D172</f>
        <v>0</v>
      </c>
    </row>
    <row r="173" spans="1:11" x14ac:dyDescent="0.3">
      <c r="A173" s="1" t="s">
        <v>133</v>
      </c>
      <c r="B173">
        <v>3280</v>
      </c>
      <c r="C173" s="8">
        <v>0.99450000000000005</v>
      </c>
      <c r="D173">
        <f>ROUND(C173*B173,0)</f>
        <v>3262</v>
      </c>
      <c r="E173" s="3"/>
      <c r="F173" t="s">
        <v>134</v>
      </c>
      <c r="H173">
        <f t="shared" si="24"/>
        <v>3280</v>
      </c>
      <c r="I173" s="6">
        <f t="shared" si="24"/>
        <v>0.99450000000000005</v>
      </c>
      <c r="J173">
        <f>ROUND(I173*H173,0)</f>
        <v>3262</v>
      </c>
      <c r="K173">
        <f>J173-D173</f>
        <v>0</v>
      </c>
    </row>
    <row r="174" spans="1:11" x14ac:dyDescent="0.3">
      <c r="A174" s="1" t="s">
        <v>135</v>
      </c>
      <c r="B174">
        <v>170</v>
      </c>
      <c r="C174" s="8">
        <v>1.1015999999999999</v>
      </c>
      <c r="D174">
        <f>ROUND(C174*B174,0)</f>
        <v>187</v>
      </c>
      <c r="E174" s="3"/>
      <c r="F174" t="str">
        <f>A174</f>
        <v xml:space="preserve">     Trans. - Inter MMT</v>
      </c>
      <c r="H174">
        <f t="shared" si="24"/>
        <v>170</v>
      </c>
      <c r="I174" s="6">
        <f t="shared" si="24"/>
        <v>1.1015999999999999</v>
      </c>
      <c r="J174">
        <f>ROUND(I174*H174,0)</f>
        <v>187</v>
      </c>
      <c r="K174">
        <f>J174-D174</f>
        <v>0</v>
      </c>
    </row>
    <row r="175" spans="1:11" x14ac:dyDescent="0.3">
      <c r="A175" s="1" t="s">
        <v>136</v>
      </c>
      <c r="B175">
        <v>714</v>
      </c>
      <c r="C175" s="8">
        <v>0.70589999999999997</v>
      </c>
      <c r="D175">
        <f>ROUND(C175*B175,0)</f>
        <v>504</v>
      </c>
      <c r="E175" s="3"/>
      <c r="F175" t="s">
        <v>137</v>
      </c>
      <c r="H175">
        <f t="shared" si="24"/>
        <v>714</v>
      </c>
      <c r="I175" s="6">
        <f t="shared" si="24"/>
        <v>0.70589999999999997</v>
      </c>
      <c r="J175">
        <f>ROUND(I175*H175,0)</f>
        <v>504</v>
      </c>
      <c r="K175">
        <f>J175-D175</f>
        <v>0</v>
      </c>
    </row>
    <row r="176" spans="1:11" x14ac:dyDescent="0.3">
      <c r="A176" s="1" t="s">
        <v>138</v>
      </c>
      <c r="B176">
        <v>51</v>
      </c>
      <c r="C176" s="8">
        <v>0.88859999999999995</v>
      </c>
      <c r="D176">
        <f>ROUND(C176*B176,0)</f>
        <v>45</v>
      </c>
      <c r="E176" s="3"/>
      <c r="F176" t="str">
        <f t="shared" ref="F176:F181" si="25">A176</f>
        <v xml:space="preserve">     Trans. - Inter DMT</v>
      </c>
      <c r="H176">
        <f t="shared" si="24"/>
        <v>51</v>
      </c>
      <c r="I176" s="6">
        <f t="shared" si="24"/>
        <v>0.88859999999999995</v>
      </c>
      <c r="J176">
        <f>ROUND(I176*H176,0)</f>
        <v>45</v>
      </c>
      <c r="K176">
        <f>J176-D176</f>
        <v>0</v>
      </c>
    </row>
    <row r="177" spans="1:11" x14ac:dyDescent="0.3">
      <c r="A177" s="22" t="s">
        <v>113</v>
      </c>
      <c r="E177" s="3"/>
      <c r="F177" t="str">
        <f t="shared" si="25"/>
        <v xml:space="preserve">     Transportation-LBS   </v>
      </c>
    </row>
    <row r="178" spans="1:11" x14ac:dyDescent="0.3">
      <c r="A178" s="1" t="s">
        <v>114</v>
      </c>
      <c r="B178">
        <v>0</v>
      </c>
      <c r="C178" s="8">
        <v>0.31979999999999997</v>
      </c>
      <c r="D178" s="3">
        <f>ROUND(C178*B178,0)</f>
        <v>0</v>
      </c>
      <c r="E178" s="3"/>
      <c r="F178" t="str">
        <f t="shared" si="25"/>
        <v xml:space="preserve">          Demand (BDU)</v>
      </c>
      <c r="H178">
        <f>B178</f>
        <v>0</v>
      </c>
      <c r="I178" s="6">
        <f>C178</f>
        <v>0.31979999999999997</v>
      </c>
      <c r="J178" s="3">
        <f>ROUND(I178*H178,0)</f>
        <v>0</v>
      </c>
    </row>
    <row r="179" spans="1:11" x14ac:dyDescent="0.3">
      <c r="A179" s="1" t="s">
        <v>115</v>
      </c>
      <c r="B179">
        <v>40</v>
      </c>
      <c r="C179" s="8">
        <v>0.46239999999999998</v>
      </c>
      <c r="D179">
        <f>ROUND(C179*B179,0)</f>
        <v>18</v>
      </c>
      <c r="E179" s="3"/>
      <c r="F179" t="str">
        <f t="shared" si="25"/>
        <v xml:space="preserve">          Commodity</v>
      </c>
      <c r="H179">
        <f>B179</f>
        <v>40</v>
      </c>
      <c r="I179" s="6">
        <f>C179</f>
        <v>0.46239999999999998</v>
      </c>
      <c r="J179">
        <f>ROUND(I179*H179,0)</f>
        <v>18</v>
      </c>
    </row>
    <row r="180" spans="1:11" x14ac:dyDescent="0.3">
      <c r="A180" s="1" t="s">
        <v>116</v>
      </c>
      <c r="B180" s="12">
        <f>B179</f>
        <v>40</v>
      </c>
      <c r="D180" s="13">
        <f>D178+D179</f>
        <v>18</v>
      </c>
      <c r="E180" s="3"/>
      <c r="F180" t="str">
        <f t="shared" si="25"/>
        <v xml:space="preserve">      Total Trans. LBS</v>
      </c>
      <c r="H180" s="12">
        <f>H179</f>
        <v>40</v>
      </c>
      <c r="J180" s="13">
        <f>J178+J179</f>
        <v>18</v>
      </c>
      <c r="K180" s="13">
        <f>J180-D180</f>
        <v>0</v>
      </c>
    </row>
    <row r="181" spans="1:11" x14ac:dyDescent="0.3">
      <c r="A181" s="1" t="s">
        <v>117</v>
      </c>
      <c r="B181" s="12">
        <f>SUM(B173:B176)+B180</f>
        <v>4255</v>
      </c>
      <c r="D181" s="13">
        <f>SUM(D172:D176)+D180</f>
        <v>4057</v>
      </c>
      <c r="E181" s="3"/>
      <c r="F181" t="str">
        <f t="shared" si="25"/>
        <v xml:space="preserve">  Total Trans. with LBS</v>
      </c>
      <c r="H181" s="12">
        <f>SUM(H173:H176)+H180</f>
        <v>4255</v>
      </c>
      <c r="J181" s="13">
        <f>SUM(J172:J176)+J180</f>
        <v>4057</v>
      </c>
      <c r="K181" s="13">
        <f>J181-D181</f>
        <v>0</v>
      </c>
    </row>
    <row r="182" spans="1:11" x14ac:dyDescent="0.3">
      <c r="E182" s="3"/>
    </row>
    <row r="183" spans="1:11" x14ac:dyDescent="0.3">
      <c r="A183" s="1" t="s">
        <v>86</v>
      </c>
      <c r="B183" s="12">
        <f>B170+B181</f>
        <v>4314</v>
      </c>
      <c r="C183" s="8"/>
      <c r="D183" s="13">
        <f>D170+D181</f>
        <v>4602</v>
      </c>
      <c r="E183" s="3"/>
      <c r="F183" t="str">
        <f>A183</f>
        <v xml:space="preserve">  Total</v>
      </c>
      <c r="H183" s="12">
        <f>H170+H181</f>
        <v>4314</v>
      </c>
      <c r="I183" s="8"/>
      <c r="J183" s="13">
        <f>J170+J181</f>
        <v>4602</v>
      </c>
      <c r="K183" s="13">
        <f>J183-D183</f>
        <v>0</v>
      </c>
    </row>
    <row r="184" spans="1:11" x14ac:dyDescent="0.3">
      <c r="A184" s="1"/>
      <c r="B184" s="18"/>
      <c r="C184" s="8"/>
      <c r="D184" s="21"/>
      <c r="E184" s="3"/>
      <c r="H184" s="18"/>
      <c r="I184" s="8"/>
      <c r="J184" s="21"/>
      <c r="K184" s="21"/>
    </row>
    <row r="185" spans="1:11" x14ac:dyDescent="0.3">
      <c r="A185" s="1"/>
      <c r="B185" s="18"/>
      <c r="C185" s="8"/>
      <c r="D185" s="21"/>
      <c r="E185" s="3"/>
      <c r="H185" s="18"/>
      <c r="I185" s="8"/>
      <c r="J185" s="21"/>
      <c r="K185" s="21"/>
    </row>
    <row r="186" spans="1:11" x14ac:dyDescent="0.3">
      <c r="A186" t="s">
        <v>139</v>
      </c>
      <c r="C186" s="8"/>
      <c r="D186" s="3"/>
      <c r="F186" t="s">
        <v>140</v>
      </c>
      <c r="K186" s="21"/>
    </row>
    <row r="187" spans="1:11" x14ac:dyDescent="0.3">
      <c r="A187" t="s">
        <v>141</v>
      </c>
      <c r="C187" s="8"/>
      <c r="D187" s="3"/>
      <c r="F187" t="s">
        <v>142</v>
      </c>
      <c r="K187" s="21"/>
    </row>
    <row r="188" spans="1:11" x14ac:dyDescent="0.3">
      <c r="E188" s="3"/>
    </row>
    <row r="189" spans="1:11" x14ac:dyDescent="0.3">
      <c r="A189" s="4" t="s">
        <v>29</v>
      </c>
      <c r="C189" s="8"/>
      <c r="D189" s="3"/>
      <c r="E189" s="3"/>
      <c r="F189" s="4" t="str">
        <f t="shared" ref="F189:F196" si="26">A189</f>
        <v>LIS</v>
      </c>
      <c r="J189" s="3"/>
      <c r="K189" s="3"/>
    </row>
    <row r="190" spans="1:11" x14ac:dyDescent="0.3">
      <c r="A190" s="1" t="s">
        <v>83</v>
      </c>
      <c r="B190" s="16">
        <v>184</v>
      </c>
      <c r="C190" s="7">
        <v>500</v>
      </c>
      <c r="D190" s="3">
        <f>ROUND(C190*B190/1000,0)</f>
        <v>92</v>
      </c>
      <c r="E190" s="3"/>
      <c r="F190" t="str">
        <f t="shared" si="26"/>
        <v xml:space="preserve"> Bills</v>
      </c>
      <c r="H190">
        <f t="shared" ref="H190:I194" si="27">B190</f>
        <v>184</v>
      </c>
      <c r="I190" s="5">
        <f t="shared" si="27"/>
        <v>500</v>
      </c>
      <c r="J190" s="3">
        <f>ROUND(I190*H190/1000,0)</f>
        <v>92</v>
      </c>
    </row>
    <row r="191" spans="1:11" x14ac:dyDescent="0.3">
      <c r="A191" s="1" t="s">
        <v>128</v>
      </c>
      <c r="B191" s="16">
        <v>0</v>
      </c>
      <c r="C191" s="8">
        <v>5.4429999999999996</v>
      </c>
      <c r="D191">
        <f>ROUND(C191*B191,0)</f>
        <v>0</v>
      </c>
      <c r="E191" s="3"/>
      <c r="F191" t="str">
        <f t="shared" si="26"/>
        <v xml:space="preserve"> First     100 Mcf</v>
      </c>
      <c r="H191">
        <f t="shared" si="27"/>
        <v>0</v>
      </c>
      <c r="I191" s="6">
        <f t="shared" si="27"/>
        <v>5.4429999999999996</v>
      </c>
      <c r="J191">
        <f>ROUND(I191*H191,0)</f>
        <v>0</v>
      </c>
      <c r="K191" s="3"/>
    </row>
    <row r="192" spans="1:11" x14ac:dyDescent="0.3">
      <c r="A192" s="1" t="s">
        <v>129</v>
      </c>
      <c r="B192" s="16">
        <v>9</v>
      </c>
      <c r="C192" s="8">
        <v>5.2603</v>
      </c>
      <c r="D192">
        <f>ROUND(C192*B192,0)</f>
        <v>47</v>
      </c>
      <c r="E192" s="3"/>
      <c r="F192" t="str">
        <f t="shared" si="26"/>
        <v xml:space="preserve"> Next   1,900 Mcf</v>
      </c>
      <c r="H192">
        <f t="shared" si="27"/>
        <v>9</v>
      </c>
      <c r="I192" s="6">
        <f t="shared" si="27"/>
        <v>5.2603</v>
      </c>
      <c r="J192">
        <f>ROUND(I192*H192,0)</f>
        <v>47</v>
      </c>
    </row>
    <row r="193" spans="1:11" x14ac:dyDescent="0.3">
      <c r="A193" s="1" t="s">
        <v>130</v>
      </c>
      <c r="B193" s="16">
        <v>3</v>
      </c>
      <c r="C193" s="8">
        <v>5.0505000000000004</v>
      </c>
      <c r="D193">
        <f>ROUND(C193*B193,0)</f>
        <v>15</v>
      </c>
      <c r="E193" s="3"/>
      <c r="F193" t="str">
        <f t="shared" si="26"/>
        <v xml:space="preserve"> Next 18,000 Mcf</v>
      </c>
      <c r="H193">
        <f t="shared" si="27"/>
        <v>3</v>
      </c>
      <c r="I193" s="6">
        <f t="shared" si="27"/>
        <v>5.0505000000000004</v>
      </c>
      <c r="J193">
        <f>ROUND(I193*H193,0)</f>
        <v>15</v>
      </c>
    </row>
    <row r="194" spans="1:11" x14ac:dyDescent="0.3">
      <c r="A194" s="1" t="s">
        <v>131</v>
      </c>
      <c r="B194" s="16">
        <v>0</v>
      </c>
      <c r="C194" s="8">
        <v>4.9127000000000001</v>
      </c>
      <c r="D194">
        <f>ROUND(C194*B194,0)</f>
        <v>0</v>
      </c>
      <c r="E194" s="3"/>
      <c r="F194" t="str">
        <f t="shared" si="26"/>
        <v xml:space="preserve"> Over 20,000 Mcf</v>
      </c>
      <c r="H194">
        <f t="shared" si="27"/>
        <v>0</v>
      </c>
      <c r="I194" s="6">
        <f t="shared" si="27"/>
        <v>4.9127000000000001</v>
      </c>
      <c r="J194">
        <f>ROUND(I194*H194,0)</f>
        <v>0</v>
      </c>
    </row>
    <row r="195" spans="1:11" x14ac:dyDescent="0.3">
      <c r="A195" s="1" t="s">
        <v>86</v>
      </c>
      <c r="B195" s="12">
        <f>SUM(B191:B194)</f>
        <v>12</v>
      </c>
      <c r="C195" s="8"/>
      <c r="D195" s="13">
        <f>SUM(D190:D194)</f>
        <v>154</v>
      </c>
      <c r="E195" s="3"/>
      <c r="F195" t="str">
        <f t="shared" si="26"/>
        <v xml:space="preserve">  Total</v>
      </c>
      <c r="H195" s="12">
        <f>SUM(H191:H194)</f>
        <v>12</v>
      </c>
      <c r="J195" s="13">
        <f>SUM(J190:J194)</f>
        <v>154</v>
      </c>
    </row>
    <row r="196" spans="1:11" x14ac:dyDescent="0.3">
      <c r="A196" s="1" t="s">
        <v>87</v>
      </c>
      <c r="C196" s="30">
        <v>1</v>
      </c>
      <c r="D196">
        <f>ROUND((C196-1)*D195,0)</f>
        <v>0</v>
      </c>
      <c r="E196" s="3"/>
      <c r="F196" t="str">
        <f t="shared" si="26"/>
        <v xml:space="preserve">  Revenue Adjustment</v>
      </c>
      <c r="J196" s="3">
        <v>0</v>
      </c>
    </row>
    <row r="197" spans="1:11" x14ac:dyDescent="0.3">
      <c r="A197" s="1" t="s">
        <v>132</v>
      </c>
      <c r="B197" s="12">
        <f>B195</f>
        <v>12</v>
      </c>
      <c r="D197" s="13">
        <f>D195+D196</f>
        <v>154</v>
      </c>
      <c r="E197" s="3"/>
      <c r="H197" s="12">
        <f>H195</f>
        <v>12</v>
      </c>
      <c r="I197" s="8"/>
      <c r="J197" s="13">
        <f>J195+J196</f>
        <v>154</v>
      </c>
      <c r="K197" s="13">
        <f>J197-D197</f>
        <v>0</v>
      </c>
    </row>
    <row r="198" spans="1:11" x14ac:dyDescent="0.3">
      <c r="A198" s="1"/>
      <c r="B198" s="18"/>
      <c r="D198" s="21"/>
      <c r="E198" s="3"/>
      <c r="H198" s="18"/>
      <c r="I198" s="8"/>
      <c r="J198" s="21"/>
      <c r="K198" s="21"/>
    </row>
    <row r="199" spans="1:11" x14ac:dyDescent="0.3">
      <c r="A199" s="1" t="s">
        <v>108</v>
      </c>
      <c r="E199" s="3"/>
      <c r="F199" t="str">
        <f>A199</f>
        <v xml:space="preserve">  Load Balancing Sales Service</v>
      </c>
    </row>
    <row r="200" spans="1:11" x14ac:dyDescent="0.3">
      <c r="A200" s="1" t="s">
        <v>109</v>
      </c>
      <c r="B200">
        <v>0</v>
      </c>
      <c r="C200" s="8">
        <v>1.1572</v>
      </c>
      <c r="D200" s="3">
        <f>ROUND(C200*B200,0)</f>
        <v>0</v>
      </c>
      <c r="E200" s="3"/>
      <c r="F200" t="str">
        <f>A200</f>
        <v xml:space="preserve">       Demand (BDU)</v>
      </c>
      <c r="H200">
        <f>B200</f>
        <v>0</v>
      </c>
      <c r="I200" s="6">
        <f>C200</f>
        <v>1.1572</v>
      </c>
      <c r="J200" s="3">
        <f>ROUND(I200*H200,0)</f>
        <v>0</v>
      </c>
    </row>
    <row r="201" spans="1:11" x14ac:dyDescent="0.3">
      <c r="A201" s="1" t="s">
        <v>110</v>
      </c>
      <c r="B201">
        <v>148</v>
      </c>
      <c r="C201" s="8">
        <v>2.8738999999999999</v>
      </c>
      <c r="D201">
        <f>ROUND(C201*B201,0)</f>
        <v>425</v>
      </c>
      <c r="E201" s="3"/>
      <c r="F201" t="str">
        <f>A201</f>
        <v xml:space="preserve">       Commodity</v>
      </c>
      <c r="H201">
        <f>B201</f>
        <v>148</v>
      </c>
      <c r="I201" s="6">
        <f>C201</f>
        <v>2.8738999999999999</v>
      </c>
      <c r="J201">
        <f>ROUND(I201*H201,0)</f>
        <v>425</v>
      </c>
    </row>
    <row r="202" spans="1:11" x14ac:dyDescent="0.3">
      <c r="A202" s="1" t="s">
        <v>111</v>
      </c>
      <c r="B202" s="12">
        <f>B201</f>
        <v>148</v>
      </c>
      <c r="D202" s="13">
        <f>D200+D201</f>
        <v>425</v>
      </c>
      <c r="E202" s="3"/>
      <c r="F202" t="str">
        <f>A202</f>
        <v xml:space="preserve">  Total LBS</v>
      </c>
      <c r="H202" s="12">
        <f>B202</f>
        <v>148</v>
      </c>
      <c r="J202" s="13">
        <f>J200+J201</f>
        <v>425</v>
      </c>
      <c r="K202" s="13">
        <f>J202-D202</f>
        <v>0</v>
      </c>
    </row>
    <row r="203" spans="1:11" x14ac:dyDescent="0.3">
      <c r="E203" s="3"/>
    </row>
    <row r="204" spans="1:11" x14ac:dyDescent="0.3">
      <c r="A204" s="1" t="s">
        <v>112</v>
      </c>
      <c r="B204" s="12">
        <f>B197+B202</f>
        <v>160</v>
      </c>
      <c r="D204" s="13">
        <f>D197+D202</f>
        <v>579</v>
      </c>
      <c r="E204" s="3"/>
      <c r="F204" t="str">
        <f>A204</f>
        <v xml:space="preserve">  Total Sales with LBS</v>
      </c>
      <c r="H204" s="12">
        <f>B204</f>
        <v>160</v>
      </c>
      <c r="J204" s="13">
        <f>J197+J202</f>
        <v>579</v>
      </c>
      <c r="K204" s="13">
        <f>J204-D204</f>
        <v>0</v>
      </c>
    </row>
    <row r="205" spans="1:11" x14ac:dyDescent="0.3">
      <c r="E205" s="3"/>
    </row>
    <row r="206" spans="1:11" x14ac:dyDescent="0.3">
      <c r="A206" s="1" t="s">
        <v>123</v>
      </c>
      <c r="B206" s="16">
        <v>162</v>
      </c>
      <c r="C206" s="7">
        <v>70</v>
      </c>
      <c r="D206" s="3">
        <f>ROUND(C206*B206/1000,0)</f>
        <v>11</v>
      </c>
      <c r="E206" s="3"/>
      <c r="F206" t="str">
        <f>A206</f>
        <v xml:space="preserve">  Transportation Bills</v>
      </c>
      <c r="H206">
        <f t="shared" ref="H206:I210" si="28">B206</f>
        <v>162</v>
      </c>
      <c r="I206" s="5">
        <f t="shared" si="28"/>
        <v>70</v>
      </c>
      <c r="J206" s="3">
        <f>ROUND(I206*H206/1000,0)</f>
        <v>11</v>
      </c>
      <c r="K206" s="3">
        <f t="shared" ref="K206:K211" si="29">J206-D206</f>
        <v>0</v>
      </c>
    </row>
    <row r="207" spans="1:11" x14ac:dyDescent="0.3">
      <c r="A207" s="1" t="s">
        <v>143</v>
      </c>
      <c r="B207" s="16">
        <v>786</v>
      </c>
      <c r="C207" s="8">
        <v>0.626</v>
      </c>
      <c r="D207">
        <f>ROUND(C207*B207,0)</f>
        <v>492</v>
      </c>
      <c r="E207" s="3"/>
      <c r="F207" s="1" t="s">
        <v>144</v>
      </c>
      <c r="H207">
        <f t="shared" si="28"/>
        <v>786</v>
      </c>
      <c r="I207" s="6">
        <f t="shared" si="28"/>
        <v>0.626</v>
      </c>
      <c r="J207">
        <f>ROUND(I207*H207,0)</f>
        <v>492</v>
      </c>
      <c r="K207">
        <f t="shared" si="29"/>
        <v>0</v>
      </c>
    </row>
    <row r="208" spans="1:11" x14ac:dyDescent="0.3">
      <c r="A208" s="1" t="s">
        <v>135</v>
      </c>
      <c r="B208" s="16">
        <v>59</v>
      </c>
      <c r="C208" s="8">
        <v>0.67149999999999999</v>
      </c>
      <c r="D208">
        <f>ROUND(C208*B208,0)</f>
        <v>40</v>
      </c>
      <c r="E208" s="3"/>
      <c r="F208" s="1" t="s">
        <v>135</v>
      </c>
      <c r="H208">
        <f t="shared" si="28"/>
        <v>59</v>
      </c>
      <c r="I208" s="6">
        <f t="shared" si="28"/>
        <v>0.67149999999999999</v>
      </c>
      <c r="J208">
        <f>ROUND(I208*H208,0)</f>
        <v>40</v>
      </c>
      <c r="K208">
        <f t="shared" si="29"/>
        <v>0</v>
      </c>
    </row>
    <row r="209" spans="1:11" x14ac:dyDescent="0.3">
      <c r="A209" s="1" t="s">
        <v>145</v>
      </c>
      <c r="B209" s="16">
        <v>7044</v>
      </c>
      <c r="C209" s="8">
        <v>0.3024</v>
      </c>
      <c r="D209">
        <f>ROUND(C209*B209,0)</f>
        <v>2130</v>
      </c>
      <c r="E209" s="3"/>
      <c r="F209" s="1" t="s">
        <v>146</v>
      </c>
      <c r="H209">
        <f t="shared" si="28"/>
        <v>7044</v>
      </c>
      <c r="I209" s="6">
        <f t="shared" si="28"/>
        <v>0.3024</v>
      </c>
      <c r="J209">
        <f>ROUND(I209*H209,0)</f>
        <v>2130</v>
      </c>
      <c r="K209">
        <f t="shared" si="29"/>
        <v>0</v>
      </c>
    </row>
    <row r="210" spans="1:11" x14ac:dyDescent="0.3">
      <c r="A210" s="1" t="s">
        <v>138</v>
      </c>
      <c r="B210">
        <v>0</v>
      </c>
      <c r="C210" s="8">
        <v>0.45850000000000002</v>
      </c>
      <c r="D210">
        <f>ROUND(C210*B210,0)</f>
        <v>0</v>
      </c>
      <c r="E210" s="3"/>
      <c r="F210" t="str">
        <f t="shared" ref="F210:F216" si="30">A210</f>
        <v xml:space="preserve">     Trans. - Inter DMT</v>
      </c>
      <c r="H210">
        <f t="shared" si="28"/>
        <v>0</v>
      </c>
      <c r="I210" s="6">
        <f t="shared" si="28"/>
        <v>0.45850000000000002</v>
      </c>
      <c r="J210">
        <f>ROUND(I210*H210,0)</f>
        <v>0</v>
      </c>
      <c r="K210">
        <f t="shared" si="29"/>
        <v>0</v>
      </c>
    </row>
    <row r="211" spans="1:11" x14ac:dyDescent="0.3">
      <c r="A211" s="1" t="s">
        <v>92</v>
      </c>
      <c r="B211" s="12">
        <f>SUM(B207:B210)</f>
        <v>7889</v>
      </c>
      <c r="D211" s="13">
        <f>SUM(D206:D210)</f>
        <v>2673</v>
      </c>
      <c r="E211" s="3"/>
      <c r="F211" t="str">
        <f t="shared" si="30"/>
        <v xml:space="preserve">  Total Transportation</v>
      </c>
      <c r="H211" s="12">
        <f>SUM(H207:H210)</f>
        <v>7889</v>
      </c>
      <c r="I211" s="8"/>
      <c r="J211" s="13">
        <f>SUM(J206:J210)</f>
        <v>2673</v>
      </c>
      <c r="K211" s="13">
        <f t="shared" si="29"/>
        <v>0</v>
      </c>
    </row>
    <row r="212" spans="1:11" x14ac:dyDescent="0.3">
      <c r="A212" s="22" t="s">
        <v>113</v>
      </c>
      <c r="C212" s="8"/>
      <c r="E212" s="3"/>
      <c r="F212" t="str">
        <f t="shared" si="30"/>
        <v xml:space="preserve">     Transportation-LBS   </v>
      </c>
    </row>
    <row r="213" spans="1:11" x14ac:dyDescent="0.3">
      <c r="A213" s="1" t="s">
        <v>114</v>
      </c>
      <c r="B213">
        <v>0</v>
      </c>
      <c r="C213" s="8">
        <v>0.25530000000000003</v>
      </c>
      <c r="D213" s="3">
        <f>ROUND(C213*B213,0)</f>
        <v>0</v>
      </c>
      <c r="E213" s="3"/>
      <c r="F213" t="str">
        <f t="shared" si="30"/>
        <v xml:space="preserve">          Demand (BDU)</v>
      </c>
      <c r="H213">
        <f>B213</f>
        <v>0</v>
      </c>
      <c r="I213" s="6">
        <f>C213</f>
        <v>0.25530000000000003</v>
      </c>
      <c r="J213" s="3">
        <f>ROUND(I213*H213,0)</f>
        <v>0</v>
      </c>
    </row>
    <row r="214" spans="1:11" x14ac:dyDescent="0.3">
      <c r="A214" s="1" t="s">
        <v>115</v>
      </c>
      <c r="B214">
        <v>0</v>
      </c>
      <c r="C214" s="8">
        <v>0.40889999999999999</v>
      </c>
      <c r="D214">
        <f>ROUND(C214*B214,0)</f>
        <v>0</v>
      </c>
      <c r="E214" s="3"/>
      <c r="F214" t="str">
        <f t="shared" si="30"/>
        <v xml:space="preserve">          Commodity</v>
      </c>
      <c r="H214">
        <f>B214</f>
        <v>0</v>
      </c>
      <c r="I214" s="6">
        <f>C214</f>
        <v>0.40889999999999999</v>
      </c>
      <c r="J214">
        <f>ROUND(I214*H214,0)</f>
        <v>0</v>
      </c>
    </row>
    <row r="215" spans="1:11" x14ac:dyDescent="0.3">
      <c r="A215" s="1" t="s">
        <v>116</v>
      </c>
      <c r="B215" s="12">
        <f>B214</f>
        <v>0</v>
      </c>
      <c r="D215" s="13">
        <f>D213+D214</f>
        <v>0</v>
      </c>
      <c r="E215" s="3"/>
      <c r="F215" t="str">
        <f t="shared" si="30"/>
        <v xml:space="preserve">      Total Trans. LBS</v>
      </c>
      <c r="H215" s="12">
        <f>H214</f>
        <v>0</v>
      </c>
      <c r="J215" s="13">
        <f>J213+J214</f>
        <v>0</v>
      </c>
      <c r="K215" s="13">
        <f>J215-D215</f>
        <v>0</v>
      </c>
    </row>
    <row r="216" spans="1:11" x14ac:dyDescent="0.3">
      <c r="A216" s="1" t="s">
        <v>117</v>
      </c>
      <c r="B216" s="12">
        <f>B211+B215</f>
        <v>7889</v>
      </c>
      <c r="D216" s="13">
        <f>SUM(D206:D209)+D215</f>
        <v>2673</v>
      </c>
      <c r="E216" s="3"/>
      <c r="F216" t="str">
        <f t="shared" si="30"/>
        <v xml:space="preserve">  Total Trans. with LBS</v>
      </c>
      <c r="H216" s="12">
        <f>H211+H215</f>
        <v>7889</v>
      </c>
      <c r="J216" s="13">
        <f>SUM(J206:J209)+J215</f>
        <v>2673</v>
      </c>
      <c r="K216" s="13">
        <f>J216-D216</f>
        <v>0</v>
      </c>
    </row>
    <row r="217" spans="1:11" x14ac:dyDescent="0.3">
      <c r="E217" s="3"/>
    </row>
    <row r="218" spans="1:11" x14ac:dyDescent="0.3">
      <c r="A218" s="1" t="s">
        <v>86</v>
      </c>
      <c r="B218" s="12">
        <f>B204+B216</f>
        <v>8049</v>
      </c>
      <c r="C218" s="8"/>
      <c r="D218" s="13">
        <f>D204+D216</f>
        <v>3252</v>
      </c>
      <c r="E218" s="3"/>
      <c r="F218" t="str">
        <f>A218</f>
        <v xml:space="preserve">  Total</v>
      </c>
      <c r="H218" s="12">
        <f>H204+H216</f>
        <v>8049</v>
      </c>
      <c r="I218" s="8"/>
      <c r="J218" s="13">
        <f>J204+J216</f>
        <v>3252</v>
      </c>
      <c r="K218" s="13">
        <f>J218-D218</f>
        <v>0</v>
      </c>
    </row>
    <row r="219" spans="1:11" x14ac:dyDescent="0.3">
      <c r="C219" s="8"/>
      <c r="D219" s="3"/>
      <c r="E219" s="3"/>
    </row>
    <row r="220" spans="1:11" x14ac:dyDescent="0.3">
      <c r="A220" s="4" t="s">
        <v>147</v>
      </c>
      <c r="C220" s="8"/>
      <c r="D220" s="3"/>
      <c r="E220" s="3"/>
      <c r="F220" s="4" t="s">
        <v>147</v>
      </c>
    </row>
    <row r="221" spans="1:11" x14ac:dyDescent="0.3">
      <c r="A221" s="4" t="s">
        <v>148</v>
      </c>
      <c r="B221" s="12">
        <f>B51+B67+B83+B110+B125+B152+B183+B218</f>
        <v>44418</v>
      </c>
      <c r="C221" s="8"/>
      <c r="D221" s="13">
        <f>D51+D67+D83+D110+D125+D152+D183+D218</f>
        <v>207303</v>
      </c>
      <c r="E221" s="3"/>
      <c r="F221" s="4" t="s">
        <v>148</v>
      </c>
      <c r="H221" s="12">
        <f>H51+H67+H83+H110+H125+H152+H183+H218</f>
        <v>44418</v>
      </c>
      <c r="I221" s="8"/>
      <c r="J221" s="13">
        <f>J51+J67+J83+J110+J125+J152+J183+J218</f>
        <v>207303</v>
      </c>
      <c r="K221" s="13">
        <f>J221-D221</f>
        <v>0</v>
      </c>
    </row>
    <row r="222" spans="1:11" x14ac:dyDescent="0.3">
      <c r="A222" s="4"/>
      <c r="B222" s="18"/>
      <c r="C222" s="8"/>
      <c r="D222" s="21"/>
      <c r="E222" s="3"/>
      <c r="F222" s="4"/>
      <c r="H222" s="18"/>
      <c r="I222" s="8"/>
      <c r="J222" s="21"/>
      <c r="K222" s="21"/>
    </row>
    <row r="223" spans="1:11" x14ac:dyDescent="0.3">
      <c r="A223" s="4"/>
      <c r="B223" s="18"/>
      <c r="C223" s="8"/>
      <c r="D223" s="21"/>
      <c r="E223" s="3"/>
      <c r="F223" s="4"/>
      <c r="H223" s="18"/>
      <c r="I223" s="8"/>
      <c r="J223" s="21"/>
      <c r="K223" s="21"/>
    </row>
    <row r="225" spans="1:6" x14ac:dyDescent="0.3">
      <c r="A225" t="s">
        <v>149</v>
      </c>
      <c r="C225" s="8"/>
      <c r="D225" s="3"/>
      <c r="F225" t="s">
        <v>150</v>
      </c>
    </row>
    <row r="226" spans="1:6" x14ac:dyDescent="0.3">
      <c r="A226" t="s">
        <v>151</v>
      </c>
      <c r="F226" t="s">
        <v>152</v>
      </c>
    </row>
    <row r="227" spans="1:6" x14ac:dyDescent="0.3">
      <c r="A227" s="1"/>
      <c r="F227" s="1"/>
    </row>
    <row r="228" spans="1:6" x14ac:dyDescent="0.3">
      <c r="B228" s="2" t="str">
        <f>IF(B229=B221,"Volume OK","Volume Error")</f>
        <v>Volume OK</v>
      </c>
      <c r="C228" s="2"/>
      <c r="D228" s="23" t="str">
        <f>IF(D229=D221,"Revenue OK","Revenue Error")</f>
        <v>Revenue OK</v>
      </c>
    </row>
    <row r="229" spans="1:6" x14ac:dyDescent="0.3">
      <c r="B229" s="27">
        <v>44418</v>
      </c>
      <c r="D229" s="21">
        <v>207303</v>
      </c>
    </row>
    <row r="230" spans="1:6" x14ac:dyDescent="0.3">
      <c r="B230">
        <f>B221-B229</f>
        <v>0</v>
      </c>
      <c r="D230" s="21">
        <f>D221-D229</f>
        <v>0</v>
      </c>
    </row>
    <row r="233" spans="1:6" x14ac:dyDescent="0.3">
      <c r="B233" s="2"/>
    </row>
    <row r="234" spans="1:6" x14ac:dyDescent="0.3">
      <c r="B234" s="27"/>
    </row>
  </sheetData>
  <pageMargins left="1" right="1" top="0.75" bottom="0.8" header="0.5" footer="0.48"/>
  <pageSetup scale="60" orientation="landscape" r:id="rId1"/>
  <headerFooter alignWithMargins="0">
    <oddFooter>&amp;L&amp;"Times New Roman,Regular"&amp;10*&amp;12 Rates exclude Transition Cost and Inflation Adjustment Surcharge&amp;10
&amp;F, &amp;A&amp;C&amp;"Times New Roman,Regular"&amp;10
Page &amp;P of &amp;N&amp;R&amp;"Times New Roman,Regular"&amp;10
&amp;D</oddFooter>
  </headerFooter>
  <rowBreaks count="5" manualBreakCount="5">
    <brk id="53" max="65535" man="1"/>
    <brk id="85" max="65535" man="1"/>
    <brk id="112" max="65535" man="1"/>
    <brk id="155" max="65535" man="1"/>
    <brk id="188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J87"/>
  <sheetViews>
    <sheetView showGridLines="0" zoomScale="75" workbookViewId="0"/>
  </sheetViews>
  <sheetFormatPr defaultColWidth="12.81640625" defaultRowHeight="15.6" x14ac:dyDescent="0.3"/>
  <cols>
    <col min="1" max="1" width="31.36328125" customWidth="1"/>
    <col min="2" max="2" width="14" customWidth="1"/>
    <col min="3" max="3" width="11.81640625" customWidth="1"/>
    <col min="4" max="4" width="10.81640625" customWidth="1"/>
    <col min="5" max="5" width="17.1796875" customWidth="1"/>
    <col min="6" max="6" width="11.08984375" customWidth="1"/>
    <col min="7" max="7" width="13.453125" customWidth="1"/>
    <col min="8" max="8" width="12.81640625" customWidth="1"/>
    <col min="9" max="9" width="12.1796875" customWidth="1"/>
  </cols>
  <sheetData>
    <row r="1" spans="1:10" x14ac:dyDescent="0.3">
      <c r="I1" s="1" t="s">
        <v>65</v>
      </c>
    </row>
    <row r="2" spans="1:10" x14ac:dyDescent="0.3">
      <c r="A2" s="9" t="s">
        <v>66</v>
      </c>
      <c r="B2" s="9"/>
      <c r="C2" s="9"/>
      <c r="D2" s="9"/>
      <c r="E2" s="9"/>
      <c r="F2" s="9"/>
      <c r="G2" s="9"/>
      <c r="H2" s="9"/>
      <c r="I2" s="9"/>
    </row>
    <row r="3" spans="1:10" x14ac:dyDescent="0.3">
      <c r="A3" s="9" t="s">
        <v>67</v>
      </c>
      <c r="B3" s="9"/>
      <c r="C3" s="9"/>
      <c r="D3" s="9"/>
      <c r="E3" s="9"/>
      <c r="F3" s="9"/>
      <c r="G3" s="9"/>
      <c r="H3" s="9"/>
      <c r="I3" s="9"/>
    </row>
    <row r="4" spans="1:10" x14ac:dyDescent="0.3">
      <c r="A4" s="9" t="s">
        <v>153</v>
      </c>
      <c r="B4" s="9"/>
      <c r="C4" s="9"/>
      <c r="D4" s="9"/>
      <c r="E4" s="9"/>
      <c r="F4" s="9"/>
      <c r="G4" s="9"/>
      <c r="H4" s="9"/>
      <c r="I4" s="9"/>
    </row>
    <row r="5" spans="1:10" x14ac:dyDescent="0.3">
      <c r="A5" s="10" t="s">
        <v>69</v>
      </c>
      <c r="B5" s="9"/>
      <c r="C5" s="9"/>
      <c r="D5" s="9"/>
      <c r="E5" s="9"/>
      <c r="F5" s="9"/>
      <c r="G5" s="9"/>
      <c r="H5" s="9"/>
      <c r="I5" s="9"/>
    </row>
    <row r="6" spans="1:10" x14ac:dyDescent="0.3">
      <c r="A6" s="9" t="s">
        <v>70</v>
      </c>
      <c r="B6" s="9"/>
      <c r="C6" s="9"/>
      <c r="D6" s="9"/>
      <c r="E6" s="9"/>
      <c r="F6" s="9"/>
      <c r="G6" s="9"/>
      <c r="H6" s="9"/>
      <c r="I6" s="9"/>
    </row>
    <row r="8" spans="1:10" x14ac:dyDescent="0.3">
      <c r="B8" s="9" t="s">
        <v>71</v>
      </c>
      <c r="C8" s="9"/>
      <c r="E8" s="9"/>
      <c r="F8" s="9" t="s">
        <v>72</v>
      </c>
      <c r="G8" s="9"/>
      <c r="H8" s="9"/>
      <c r="I8" s="9"/>
    </row>
    <row r="9" spans="1:10" x14ac:dyDescent="0.3">
      <c r="B9" s="26" t="s">
        <v>73</v>
      </c>
      <c r="C9" s="14" t="s">
        <v>75</v>
      </c>
      <c r="D9" s="15"/>
      <c r="E9" s="24" t="s">
        <v>76</v>
      </c>
      <c r="F9" s="15"/>
      <c r="G9" s="14" t="str">
        <f>B9</f>
        <v>Actual MMcf</v>
      </c>
      <c r="H9" s="14" t="s">
        <v>75</v>
      </c>
      <c r="I9" s="14" t="s">
        <v>77</v>
      </c>
    </row>
    <row r="11" spans="1:10" x14ac:dyDescent="0.3">
      <c r="A11" s="4" t="s">
        <v>82</v>
      </c>
      <c r="E11" s="4" t="str">
        <f t="shared" ref="E11:E16" si="0">A11</f>
        <v>RESIDENTIAL</v>
      </c>
    </row>
    <row r="12" spans="1:10" x14ac:dyDescent="0.3">
      <c r="A12" s="1" t="s">
        <v>154</v>
      </c>
      <c r="B12">
        <f>'Exh 3-A-1 Actual'!B18</f>
        <v>19586</v>
      </c>
      <c r="C12" s="3">
        <f>'Exh 3-A-1 Actual'!D18</f>
        <v>149835</v>
      </c>
      <c r="E12" t="str">
        <f t="shared" si="0"/>
        <v xml:space="preserve">  Sales Service</v>
      </c>
      <c r="G12">
        <f>'Exh 3-A-1 Actual'!H18</f>
        <v>19586</v>
      </c>
      <c r="H12" s="3">
        <f>'Exh 3-A-1 Actual'!J18</f>
        <v>149835</v>
      </c>
      <c r="I12" s="3">
        <f>H12-C12</f>
        <v>0</v>
      </c>
    </row>
    <row r="13" spans="1:10" x14ac:dyDescent="0.3">
      <c r="A13" s="1" t="s">
        <v>155</v>
      </c>
      <c r="B13">
        <f>'Exh 3-A-1 Actual'!B33+'Exh 3-A-1 Actual'!B41+'Exh 3-A-1 Actual'!B49</f>
        <v>254</v>
      </c>
      <c r="C13">
        <f>'Exh 3-A-1 Actual'!D33+'Exh 3-A-1 Actual'!D41+'Exh 3-A-1 Actual'!D49</f>
        <v>1321</v>
      </c>
      <c r="E13" t="str">
        <f t="shared" si="0"/>
        <v xml:space="preserve">  LIRA</v>
      </c>
      <c r="G13">
        <f>'Exh 3-A-1 Actual'!H33+'Exh 3-A-1 Actual'!H41+'Exh 3-A-1 Actual'!H49</f>
        <v>254</v>
      </c>
      <c r="H13">
        <f>'Exh 3-A-1 Actual'!J33+'Exh 3-A-1 Actual'!J41+'Exh 3-A-1 Actual'!J49</f>
        <v>1321</v>
      </c>
      <c r="I13">
        <f>H13-C13</f>
        <v>0</v>
      </c>
    </row>
    <row r="14" spans="1:10" x14ac:dyDescent="0.3">
      <c r="A14" s="1" t="s">
        <v>156</v>
      </c>
      <c r="B14">
        <f>'Exh 3-A-1 Actual (SATC)'!B20</f>
        <v>1992</v>
      </c>
      <c r="C14">
        <f>'Exh 3-A-1 Actual (SATC)'!D20</f>
        <v>7817</v>
      </c>
      <c r="E14" t="str">
        <f t="shared" si="0"/>
        <v xml:space="preserve">  SATC Service</v>
      </c>
      <c r="G14">
        <f>'Exh 3-A-1 Actual (SATC)'!G20</f>
        <v>1992</v>
      </c>
      <c r="H14">
        <f>'Exh 3-A-1 Actual (SATC)'!I20</f>
        <v>8182</v>
      </c>
      <c r="I14">
        <f>H14-C14</f>
        <v>365</v>
      </c>
    </row>
    <row r="15" spans="1:10" x14ac:dyDescent="0.3">
      <c r="A15" s="1" t="s">
        <v>157</v>
      </c>
      <c r="B15">
        <f>'Exh 3-A-1 Actual'!B23</f>
        <v>21</v>
      </c>
      <c r="C15">
        <f>'Exh 3-A-1 Actual'!D23</f>
        <v>45</v>
      </c>
      <c r="E15" t="str">
        <f t="shared" si="0"/>
        <v xml:space="preserve">  Transportation (MMT)</v>
      </c>
      <c r="G15">
        <f>'Exh 3-A-1 Actual'!H23</f>
        <v>21</v>
      </c>
      <c r="H15">
        <f>'Exh 3-A-1 Actual'!J23</f>
        <v>45</v>
      </c>
      <c r="I15">
        <f>H15-C15</f>
        <v>0</v>
      </c>
    </row>
    <row r="16" spans="1:10" x14ac:dyDescent="0.3">
      <c r="A16" s="1" t="s">
        <v>158</v>
      </c>
      <c r="B16" s="12">
        <f>SUM(B12:B15)</f>
        <v>21853</v>
      </c>
      <c r="C16" s="13">
        <f>SUM(C12:C15)</f>
        <v>159018</v>
      </c>
      <c r="D16" s="3" t="str">
        <f>IF(C16='Exh 3-A-1 Actual'!D51+'Exh 3-A-1 Actual (SATC)'!D20,"",C16-'Exh 3-A-1 Actual'!D51-'Exh 3-A-1 Actual (SATC)'!D20)</f>
        <v/>
      </c>
      <c r="E16" t="str">
        <f t="shared" si="0"/>
        <v xml:space="preserve">  Total Residential</v>
      </c>
      <c r="G16" s="12">
        <f>SUM(G12:G15)</f>
        <v>21853</v>
      </c>
      <c r="H16" s="13">
        <f>SUM(H12:H15)</f>
        <v>159383</v>
      </c>
      <c r="I16" s="13">
        <f>SUM(I12:I15)</f>
        <v>365</v>
      </c>
      <c r="J16" s="13">
        <f>H16-$C16</f>
        <v>365</v>
      </c>
    </row>
    <row r="17" spans="1:10" x14ac:dyDescent="0.3">
      <c r="A17" s="4"/>
      <c r="B17" s="18"/>
      <c r="C17" s="18"/>
      <c r="D17" s="3"/>
      <c r="E17" s="1"/>
      <c r="G17" s="18"/>
      <c r="H17" s="18"/>
    </row>
    <row r="18" spans="1:10" x14ac:dyDescent="0.3">
      <c r="A18" s="4"/>
      <c r="B18" s="18"/>
      <c r="C18" s="18"/>
      <c r="D18" s="3"/>
      <c r="E18" s="1"/>
      <c r="G18" s="18"/>
      <c r="H18" s="18"/>
    </row>
    <row r="19" spans="1:10" x14ac:dyDescent="0.3">
      <c r="A19" s="4" t="s">
        <v>98</v>
      </c>
      <c r="D19" s="3"/>
      <c r="E19" s="4" t="str">
        <f>A19</f>
        <v>SMALL COMMERCIAL &amp; PUBLIC AUTHORITY &lt; 250 MCF</v>
      </c>
    </row>
    <row r="20" spans="1:10" x14ac:dyDescent="0.3">
      <c r="A20" s="1" t="s">
        <v>154</v>
      </c>
      <c r="B20">
        <f>'Exh 3-A-1 Actual'!B60</f>
        <v>848</v>
      </c>
      <c r="C20" s="3">
        <f>'Exh 3-A-1 Actual'!D60</f>
        <v>7347</v>
      </c>
      <c r="E20" t="str">
        <f>A20</f>
        <v xml:space="preserve">  Sales Service</v>
      </c>
      <c r="G20">
        <f>'Exh 3-A-1 Actual'!H60</f>
        <v>848</v>
      </c>
      <c r="H20" s="3">
        <f>'Exh 3-A-1 Actual'!J60</f>
        <v>7347</v>
      </c>
      <c r="I20" s="3">
        <f>H20-C20</f>
        <v>0</v>
      </c>
    </row>
    <row r="21" spans="1:10" x14ac:dyDescent="0.3">
      <c r="A21" s="1" t="s">
        <v>156</v>
      </c>
      <c r="B21">
        <f>'Exh 3-A-1 Actual (SATC)'!B29</f>
        <v>85</v>
      </c>
      <c r="C21">
        <f>'Exh 3-A-1 Actual (SATC)'!D29</f>
        <v>415</v>
      </c>
      <c r="E21" t="str">
        <f>A21</f>
        <v xml:space="preserve">  SATC Service</v>
      </c>
      <c r="G21">
        <f>'Exh 3-A-1 Actual (SATC)'!G29</f>
        <v>85</v>
      </c>
      <c r="H21">
        <f>'Exh 3-A-1 Actual (SATC)'!I29</f>
        <v>430</v>
      </c>
      <c r="I21">
        <f>H21-C21</f>
        <v>15</v>
      </c>
    </row>
    <row r="22" spans="1:10" x14ac:dyDescent="0.3">
      <c r="A22" s="1" t="s">
        <v>157</v>
      </c>
      <c r="B22">
        <f>'Exh 3-A-1 Actual'!B65</f>
        <v>0</v>
      </c>
      <c r="C22">
        <f>'Exh 3-A-1 Actual'!D65</f>
        <v>3</v>
      </c>
      <c r="E22" t="str">
        <f>A22</f>
        <v xml:space="preserve">  Transportation (MMT)</v>
      </c>
      <c r="G22">
        <f>'Exh 3-A-1 Actual'!H65</f>
        <v>0</v>
      </c>
      <c r="H22">
        <f>'Exh 3-A-1 Actual'!J65</f>
        <v>3</v>
      </c>
      <c r="I22">
        <f>H22-C22</f>
        <v>0</v>
      </c>
    </row>
    <row r="23" spans="1:10" x14ac:dyDescent="0.3">
      <c r="A23" s="1" t="s">
        <v>159</v>
      </c>
      <c r="B23" s="12">
        <f>SUM(B20:B22)</f>
        <v>933</v>
      </c>
      <c r="C23" s="13">
        <f>SUM(C20:C22)</f>
        <v>7765</v>
      </c>
      <c r="D23" s="3" t="str">
        <f>IF(C23='Exh 3-A-1 Actual'!D67+'Exh 3-A-1 Actual (SATC)'!D29,"",C23-'Exh 3-A-1 Actual'!D67-'Exh 3-A-1 Actual (SATC)'!D29)</f>
        <v/>
      </c>
      <c r="E23" t="str">
        <f>A23</f>
        <v xml:space="preserve">  Total Small Com/Pub. Auth &lt; 250 Mcf</v>
      </c>
      <c r="G23" s="12">
        <f>SUM(G20:G22)</f>
        <v>933</v>
      </c>
      <c r="H23" s="13">
        <f>SUM(H20:H22)</f>
        <v>7780</v>
      </c>
      <c r="I23" s="13">
        <f>SUM(I20:I22)</f>
        <v>15</v>
      </c>
      <c r="J23" s="13">
        <f>H23-$C23</f>
        <v>15</v>
      </c>
    </row>
    <row r="24" spans="1:10" x14ac:dyDescent="0.3">
      <c r="A24" s="1"/>
      <c r="B24" s="18"/>
      <c r="C24" s="21"/>
      <c r="D24" s="3"/>
      <c r="G24" s="18"/>
      <c r="H24" s="21"/>
      <c r="I24" s="21"/>
    </row>
    <row r="25" spans="1:10" x14ac:dyDescent="0.3">
      <c r="A25" s="4"/>
      <c r="B25" s="18"/>
      <c r="C25" s="18"/>
      <c r="D25" s="3"/>
      <c r="E25" s="1"/>
      <c r="G25" s="18"/>
      <c r="H25" s="18"/>
    </row>
    <row r="26" spans="1:10" x14ac:dyDescent="0.3">
      <c r="A26" s="4" t="s">
        <v>100</v>
      </c>
      <c r="D26" s="3"/>
      <c r="E26" s="4" t="str">
        <f>A26</f>
        <v>SMALL COMMERCIAL &amp; PUBLIC AUTHORITY &gt; 250 MCF</v>
      </c>
    </row>
    <row r="27" spans="1:10" x14ac:dyDescent="0.3">
      <c r="A27" s="1" t="s">
        <v>154</v>
      </c>
      <c r="B27">
        <f>'Exh 3-A-1 Actual'!B76</f>
        <v>1720</v>
      </c>
      <c r="C27" s="3">
        <f>'Exh 3-A-1 Actual'!D76</f>
        <v>12508</v>
      </c>
      <c r="E27" t="str">
        <f>A27</f>
        <v xml:space="preserve">  Sales Service</v>
      </c>
      <c r="G27">
        <f>'Exh 3-A-1 Actual'!H76</f>
        <v>1720</v>
      </c>
      <c r="H27" s="3">
        <f>'Exh 3-A-1 Actual'!J76</f>
        <v>12508</v>
      </c>
      <c r="I27" s="3">
        <f>H27-C27</f>
        <v>0</v>
      </c>
    </row>
    <row r="28" spans="1:10" x14ac:dyDescent="0.3">
      <c r="A28" s="1" t="s">
        <v>156</v>
      </c>
      <c r="B28">
        <f>'Exh 3-A-1 Actual (SATC)'!B38</f>
        <v>153</v>
      </c>
      <c r="C28">
        <f>'Exh 3-A-1 Actual (SATC)'!D38</f>
        <v>547</v>
      </c>
      <c r="E28" t="str">
        <f>A28</f>
        <v xml:space="preserve">  SATC Service</v>
      </c>
      <c r="G28">
        <f>'Exh 3-A-1 Actual (SATC)'!G38</f>
        <v>153</v>
      </c>
      <c r="H28">
        <f>'Exh 3-A-1 Actual (SATC)'!I38</f>
        <v>575</v>
      </c>
      <c r="I28">
        <f>H28-C28</f>
        <v>28</v>
      </c>
    </row>
    <row r="29" spans="1:10" x14ac:dyDescent="0.3">
      <c r="A29" s="1" t="s">
        <v>157</v>
      </c>
      <c r="B29">
        <f>'Exh 3-A-1 Actual'!B81</f>
        <v>21</v>
      </c>
      <c r="C29">
        <f>'Exh 3-A-1 Actual'!D81</f>
        <v>75</v>
      </c>
      <c r="E29" t="str">
        <f>A29</f>
        <v xml:space="preserve">  Transportation (MMT)</v>
      </c>
      <c r="G29">
        <f>'Exh 3-A-1 Actual'!H81</f>
        <v>21</v>
      </c>
      <c r="H29">
        <f>'Exh 3-A-1 Actual'!J81</f>
        <v>75</v>
      </c>
      <c r="I29">
        <f>H29-C29</f>
        <v>0</v>
      </c>
    </row>
    <row r="30" spans="1:10" x14ac:dyDescent="0.3">
      <c r="A30" s="1" t="s">
        <v>160</v>
      </c>
      <c r="B30" s="12">
        <f>SUM(B27:B29)</f>
        <v>1894</v>
      </c>
      <c r="C30" s="13">
        <f>SUM(C27:C29)</f>
        <v>13130</v>
      </c>
      <c r="D30" s="3" t="str">
        <f>IF(C30='Exh 3-A-1 Actual'!D83+'Exh 3-A-1 Actual (SATC)'!D38,"",C30-'Exh 3-A-1 Actual'!D83-'Exh 3-A-1 Actual (SATC)'!D38)</f>
        <v/>
      </c>
      <c r="E30" t="str">
        <f>A30</f>
        <v xml:space="preserve">  Total Small Com/Pub. Auth &gt; 250 Mcf</v>
      </c>
      <c r="G30" s="12">
        <f>SUM(G27:G29)</f>
        <v>1894</v>
      </c>
      <c r="H30" s="13">
        <f>SUM(H27:H29)</f>
        <v>13158</v>
      </c>
      <c r="I30" s="13">
        <f>SUM(I27:I29)</f>
        <v>28</v>
      </c>
      <c r="J30" s="13">
        <f>H30-$C30</f>
        <v>28</v>
      </c>
    </row>
    <row r="31" spans="1:10" x14ac:dyDescent="0.3">
      <c r="A31" s="1"/>
      <c r="B31" s="18"/>
      <c r="C31" s="21"/>
      <c r="D31" s="3"/>
      <c r="G31" s="18"/>
      <c r="H31" s="21"/>
      <c r="I31" s="21"/>
    </row>
    <row r="32" spans="1:10" x14ac:dyDescent="0.3">
      <c r="D32" s="3"/>
    </row>
    <row r="33" spans="1:10" x14ac:dyDescent="0.3">
      <c r="A33" s="4" t="s">
        <v>103</v>
      </c>
      <c r="D33" s="3"/>
      <c r="E33" s="4" t="str">
        <f t="shared" ref="E33:E39" si="1">A33</f>
        <v>LARGE COMMERCIAL &amp; PUBLIC AUTHORITY</v>
      </c>
    </row>
    <row r="34" spans="1:10" x14ac:dyDescent="0.3">
      <c r="A34" s="1" t="s">
        <v>154</v>
      </c>
      <c r="B34">
        <f>'Exh 3-A-1 Actual'!B93</f>
        <v>2411</v>
      </c>
      <c r="C34" s="3">
        <f>'Exh 3-A-1 Actual'!D93</f>
        <v>16363</v>
      </c>
      <c r="E34" t="str">
        <f t="shared" si="1"/>
        <v xml:space="preserve">  Sales Service</v>
      </c>
      <c r="G34">
        <f>'Exh 3-A-1 Actual'!H93</f>
        <v>2411</v>
      </c>
      <c r="H34" s="3">
        <f>'Exh 3-A-1 Actual'!J93</f>
        <v>16363</v>
      </c>
      <c r="I34" s="3">
        <f>H34-C34</f>
        <v>0</v>
      </c>
    </row>
    <row r="35" spans="1:10" x14ac:dyDescent="0.3">
      <c r="A35" s="1" t="s">
        <v>161</v>
      </c>
      <c r="B35">
        <f>'Exh 3-A-1 Actual'!B98</f>
        <v>0</v>
      </c>
      <c r="C35">
        <f>'Exh 3-A-1 Actual'!D98</f>
        <v>0</v>
      </c>
      <c r="E35" t="str">
        <f t="shared" si="1"/>
        <v xml:space="preserve">  Load Balancing - Sales</v>
      </c>
      <c r="G35">
        <f>'Exh 3-A-1 Actual'!H98</f>
        <v>0</v>
      </c>
      <c r="H35">
        <f>'Exh 3-A-1 Actual'!J98</f>
        <v>0</v>
      </c>
      <c r="I35">
        <f>H35-C35</f>
        <v>0</v>
      </c>
    </row>
    <row r="36" spans="1:10" x14ac:dyDescent="0.3">
      <c r="A36" s="1" t="s">
        <v>156</v>
      </c>
      <c r="B36">
        <f>'Exh 3-A-1 Actual (SATC)'!B48</f>
        <v>224</v>
      </c>
      <c r="C36">
        <f>'Exh 3-A-1 Actual (SATC)'!D48</f>
        <v>649</v>
      </c>
      <c r="E36" t="str">
        <f t="shared" si="1"/>
        <v xml:space="preserve">  SATC Service</v>
      </c>
      <c r="G36">
        <f>'Exh 3-A-1 Actual (SATC)'!G48</f>
        <v>224</v>
      </c>
      <c r="H36">
        <f>'Exh 3-A-1 Actual (SATC)'!I48</f>
        <v>690</v>
      </c>
      <c r="I36">
        <f>H36-C36</f>
        <v>41</v>
      </c>
    </row>
    <row r="37" spans="1:10" x14ac:dyDescent="0.3">
      <c r="A37" s="1" t="s">
        <v>157</v>
      </c>
      <c r="B37">
        <f>SUM('Exh 3-A-1 Actual'!B102:B103)</f>
        <v>3668</v>
      </c>
      <c r="C37">
        <f>SUM('Exh 3-A-1 Actual'!D101:D103)</f>
        <v>5036</v>
      </c>
      <c r="E37" t="str">
        <f t="shared" si="1"/>
        <v xml:space="preserve">  Transportation (MMT)</v>
      </c>
      <c r="G37">
        <f>SUM('Exh 3-A-1 Actual'!H102:H103)</f>
        <v>3668</v>
      </c>
      <c r="H37">
        <f>SUM('Exh 3-A-1 Actual'!J101:J103)</f>
        <v>5036</v>
      </c>
      <c r="I37">
        <f>H37-C37</f>
        <v>0</v>
      </c>
    </row>
    <row r="38" spans="1:10" x14ac:dyDescent="0.3">
      <c r="A38" s="1" t="s">
        <v>162</v>
      </c>
      <c r="B38">
        <f>'Exh 3-A-1 Actual'!B107</f>
        <v>13</v>
      </c>
      <c r="C38">
        <f>'Exh 3-A-1 Actual'!D107</f>
        <v>8</v>
      </c>
      <c r="E38" t="str">
        <f t="shared" si="1"/>
        <v xml:space="preserve">  Load Balancing - Transportation</v>
      </c>
      <c r="G38">
        <f>'Exh 3-A-1 Actual'!H107</f>
        <v>13</v>
      </c>
      <c r="H38">
        <f>'Exh 3-A-1 Actual'!J107</f>
        <v>8</v>
      </c>
      <c r="I38">
        <f>H38-C38</f>
        <v>0</v>
      </c>
    </row>
    <row r="39" spans="1:10" x14ac:dyDescent="0.3">
      <c r="A39" s="1" t="s">
        <v>163</v>
      </c>
      <c r="B39" s="12">
        <f>SUM(B34:B38)</f>
        <v>6316</v>
      </c>
      <c r="C39" s="13">
        <f>SUM(C34:C38)</f>
        <v>22056</v>
      </c>
      <c r="D39" s="3" t="str">
        <f>IF(C39='Exh 3-A-1 Actual'!D110+'Exh 3-A-1 Actual (SATC)'!D48,"",C39-'Exh 3-A-1 Actual'!D110-'Exh 3-A-1 Actual (SATC)'!D48)</f>
        <v/>
      </c>
      <c r="E39" t="str">
        <f t="shared" si="1"/>
        <v xml:space="preserve">  Total Large Commercial &amp; Public Auth.</v>
      </c>
      <c r="G39" s="12">
        <f>SUM(G34:G38)</f>
        <v>6316</v>
      </c>
      <c r="H39" s="13">
        <f>SUM(H34:H38)</f>
        <v>22097</v>
      </c>
      <c r="I39" s="13">
        <f>SUM(I34:I38)</f>
        <v>41</v>
      </c>
      <c r="J39" s="13">
        <f>H39-$C39</f>
        <v>41</v>
      </c>
    </row>
    <row r="40" spans="1:10" x14ac:dyDescent="0.3">
      <c r="A40" s="1"/>
      <c r="B40" s="18"/>
      <c r="C40" s="21"/>
      <c r="D40" s="3"/>
      <c r="G40" s="18"/>
      <c r="H40" s="21"/>
      <c r="I40" s="21"/>
    </row>
    <row r="41" spans="1:10" x14ac:dyDescent="0.3">
      <c r="D41" s="3"/>
    </row>
    <row r="42" spans="1:10" x14ac:dyDescent="0.3">
      <c r="A42" s="4" t="s">
        <v>118</v>
      </c>
      <c r="C42" s="3"/>
      <c r="D42" s="3"/>
      <c r="E42" s="4" t="str">
        <f>A42</f>
        <v>SMALL VIS</v>
      </c>
      <c r="H42" s="3"/>
      <c r="I42" s="3"/>
    </row>
    <row r="43" spans="1:10" x14ac:dyDescent="0.3">
      <c r="A43" s="1" t="s">
        <v>154</v>
      </c>
      <c r="B43">
        <f>'Exh 3-A-1 Actual'!B118</f>
        <v>55</v>
      </c>
      <c r="C43" s="3">
        <f>'Exh 3-A-1 Actual'!D118</f>
        <v>481</v>
      </c>
      <c r="E43" t="str">
        <f>A43</f>
        <v xml:space="preserve">  Sales Service</v>
      </c>
      <c r="G43">
        <f>'Exh 3-A-1 Actual'!H118</f>
        <v>55</v>
      </c>
      <c r="H43" s="3">
        <f>'Exh 3-A-1 Actual'!J118</f>
        <v>481</v>
      </c>
      <c r="I43" s="3">
        <f>H43-C43</f>
        <v>0</v>
      </c>
    </row>
    <row r="44" spans="1:10" x14ac:dyDescent="0.3">
      <c r="A44" s="1" t="s">
        <v>156</v>
      </c>
      <c r="B44">
        <f>'Exh 3-A-1 Actual (SATC)'!B56</f>
        <v>1</v>
      </c>
      <c r="C44">
        <f>'Exh 3-A-1 Actual (SATC)'!D56</f>
        <v>6</v>
      </c>
      <c r="E44" t="str">
        <f>A44</f>
        <v xml:space="preserve">  SATC Service</v>
      </c>
      <c r="G44">
        <f>'Exh 3-A-1 Actual (SATC)'!G56</f>
        <v>1</v>
      </c>
      <c r="H44">
        <f>'Exh 3-A-1 Actual (SATC)'!I56</f>
        <v>6</v>
      </c>
      <c r="I44">
        <f>H44-C44</f>
        <v>0</v>
      </c>
    </row>
    <row r="45" spans="1:10" x14ac:dyDescent="0.3">
      <c r="A45" s="1" t="s">
        <v>157</v>
      </c>
      <c r="B45">
        <f>'Exh 3-A-1 Actual'!B123</f>
        <v>9</v>
      </c>
      <c r="C45">
        <f>'Exh 3-A-1 Actual'!D123</f>
        <v>24</v>
      </c>
      <c r="E45" t="str">
        <f>A45</f>
        <v xml:space="preserve">  Transportation (MMT)</v>
      </c>
      <c r="G45">
        <f>'Exh 3-A-1 Actual'!H123</f>
        <v>9</v>
      </c>
      <c r="H45">
        <f>'Exh 3-A-1 Actual'!J123</f>
        <v>24</v>
      </c>
      <c r="I45">
        <f>H45-C45</f>
        <v>0</v>
      </c>
    </row>
    <row r="46" spans="1:10" x14ac:dyDescent="0.3">
      <c r="A46" s="1" t="s">
        <v>164</v>
      </c>
      <c r="B46" s="12">
        <f>SUM(B43:B45)</f>
        <v>65</v>
      </c>
      <c r="C46" s="13">
        <f>SUM(C43:C45)</f>
        <v>511</v>
      </c>
      <c r="D46" s="3" t="str">
        <f>IF(C46='Exh 3-A-1 Actual'!D125+'Exh 3-A-1 Actual (SATC)'!D56,"",C46-'Exh 3-A-1 Actual'!D125-'Exh 3-A-1 Actual (SATC)'!D56)</f>
        <v/>
      </c>
      <c r="E46" t="str">
        <f>A46</f>
        <v xml:space="preserve">  Total SVIS</v>
      </c>
      <c r="G46" s="12">
        <f>SUM(G43:G45)</f>
        <v>65</v>
      </c>
      <c r="H46" s="13">
        <f>SUM(H43:H45)</f>
        <v>511</v>
      </c>
      <c r="I46" s="13">
        <f>SUM(I43:I45)</f>
        <v>0</v>
      </c>
      <c r="J46" s="13">
        <f>H46-$C46</f>
        <v>0</v>
      </c>
    </row>
    <row r="47" spans="1:10" x14ac:dyDescent="0.3">
      <c r="D47" s="3"/>
    </row>
    <row r="48" spans="1:10" x14ac:dyDescent="0.3">
      <c r="A48" s="4" t="s">
        <v>120</v>
      </c>
      <c r="C48" s="3"/>
      <c r="D48" s="3"/>
      <c r="E48" s="4" t="str">
        <f t="shared" ref="E48:E54" si="2">A48</f>
        <v>INTERMEDIATE VIS</v>
      </c>
      <c r="H48" s="3"/>
      <c r="I48" s="3"/>
    </row>
    <row r="49" spans="1:10" x14ac:dyDescent="0.3">
      <c r="A49" s="1" t="s">
        <v>154</v>
      </c>
      <c r="B49">
        <f>'Exh 3-A-1 Actual'!B135</f>
        <v>314</v>
      </c>
      <c r="C49" s="3">
        <f>'Exh 3-A-1 Actual'!D135</f>
        <v>2456</v>
      </c>
      <c r="E49" t="str">
        <f t="shared" si="2"/>
        <v xml:space="preserve">  Sales Service</v>
      </c>
      <c r="G49">
        <f>'Exh 3-A-1 Actual'!H135</f>
        <v>314</v>
      </c>
      <c r="H49" s="3">
        <f>'Exh 3-A-1 Actual'!J135</f>
        <v>2456</v>
      </c>
      <c r="I49" s="3">
        <f>H49-C49</f>
        <v>0</v>
      </c>
    </row>
    <row r="50" spans="1:10" x14ac:dyDescent="0.3">
      <c r="A50" s="1" t="s">
        <v>161</v>
      </c>
      <c r="B50">
        <f>'Exh 3-A-1 Actual'!B140</f>
        <v>15</v>
      </c>
      <c r="C50">
        <f>'Exh 3-A-1 Actual'!D140</f>
        <v>67</v>
      </c>
      <c r="E50" t="str">
        <f t="shared" si="2"/>
        <v xml:space="preserve">  Load Balancing - Sales</v>
      </c>
      <c r="G50">
        <f>'Exh 3-A-1 Actual'!H140</f>
        <v>15</v>
      </c>
      <c r="H50">
        <f>'Exh 3-A-1 Actual'!J140</f>
        <v>67</v>
      </c>
      <c r="I50">
        <f>H50-C50</f>
        <v>0</v>
      </c>
    </row>
    <row r="51" spans="1:10" x14ac:dyDescent="0.3">
      <c r="A51" s="1" t="s">
        <v>156</v>
      </c>
      <c r="B51">
        <f>'Exh 3-A-1 Actual (SATC)'!B66</f>
        <v>12</v>
      </c>
      <c r="C51">
        <f>'Exh 3-A-1 Actual (SATC)'!D66</f>
        <v>29</v>
      </c>
      <c r="E51" t="str">
        <f t="shared" si="2"/>
        <v xml:space="preserve">  SATC Service</v>
      </c>
      <c r="G51">
        <f>'Exh 3-A-1 Actual (SATC)'!G66</f>
        <v>12</v>
      </c>
      <c r="H51">
        <f>'Exh 3-A-1 Actual (SATC)'!I66</f>
        <v>32</v>
      </c>
      <c r="I51">
        <f>H51-C51</f>
        <v>3</v>
      </c>
    </row>
    <row r="52" spans="1:10" x14ac:dyDescent="0.3">
      <c r="A52" s="1" t="s">
        <v>157</v>
      </c>
      <c r="B52">
        <f>SUM('Exh 3-A-1 Actual'!B144:B145)</f>
        <v>2950</v>
      </c>
      <c r="C52">
        <f>SUM('Exh 3-A-1 Actual'!D143:D145)</f>
        <v>3783</v>
      </c>
      <c r="E52" t="str">
        <f t="shared" si="2"/>
        <v xml:space="preserve">  Transportation (MMT)</v>
      </c>
      <c r="G52">
        <f>SUM('Exh 3-A-1 Actual'!H144:H145)</f>
        <v>2950</v>
      </c>
      <c r="H52">
        <f>SUM('Exh 3-A-1 Actual'!J143:J145)</f>
        <v>3783</v>
      </c>
      <c r="I52">
        <f>H52-C52</f>
        <v>0</v>
      </c>
    </row>
    <row r="53" spans="1:10" x14ac:dyDescent="0.3">
      <c r="A53" s="1" t="s">
        <v>162</v>
      </c>
      <c r="B53">
        <f>'Exh 3-A-1 Actual'!B149</f>
        <v>170</v>
      </c>
      <c r="C53">
        <f>'Exh 3-A-1 Actual'!D149</f>
        <v>97</v>
      </c>
      <c r="E53" t="str">
        <f t="shared" si="2"/>
        <v xml:space="preserve">  Load Balancing - Transportation</v>
      </c>
      <c r="G53">
        <f>'Exh 3-A-1 Actual'!H149</f>
        <v>170</v>
      </c>
      <c r="H53">
        <f>'Exh 3-A-1 Actual'!J149</f>
        <v>97</v>
      </c>
      <c r="I53">
        <f>H53-C53</f>
        <v>0</v>
      </c>
    </row>
    <row r="54" spans="1:10" x14ac:dyDescent="0.3">
      <c r="A54" s="1" t="s">
        <v>165</v>
      </c>
      <c r="B54" s="12">
        <f>SUM(B49:B53)</f>
        <v>3461</v>
      </c>
      <c r="C54" s="13">
        <f>SUM(C49:C53)</f>
        <v>6432</v>
      </c>
      <c r="D54" s="3" t="str">
        <f>IF(C54='Exh 3-A-1 Actual'!D152+'Exh 3-A-1 Actual (SATC)'!D66,"",C54-'Exh 3-A-1 Actual'!D152-'Exh 3-A-1 Actual (SATC)'!D66)</f>
        <v/>
      </c>
      <c r="E54" t="str">
        <f t="shared" si="2"/>
        <v xml:space="preserve">  Total IVIS</v>
      </c>
      <c r="G54" s="12">
        <f>SUM(G49:G53)</f>
        <v>3461</v>
      </c>
      <c r="H54" s="13">
        <f>SUM(H49:H53)</f>
        <v>6435</v>
      </c>
      <c r="I54" s="13">
        <f>SUM(I49:I53)</f>
        <v>3</v>
      </c>
      <c r="J54" s="13">
        <f>H54-$C54</f>
        <v>3</v>
      </c>
    </row>
    <row r="55" spans="1:10" x14ac:dyDescent="0.3">
      <c r="A55" s="1"/>
      <c r="B55" s="18"/>
      <c r="C55" s="21"/>
      <c r="D55" s="3"/>
      <c r="G55" s="18"/>
      <c r="H55" s="21"/>
      <c r="I55" s="21"/>
    </row>
    <row r="56" spans="1:10" x14ac:dyDescent="0.3">
      <c r="C56" s="3"/>
      <c r="D56" s="3"/>
    </row>
    <row r="57" spans="1:10" x14ac:dyDescent="0.3">
      <c r="A57" s="4" t="s">
        <v>27</v>
      </c>
      <c r="C57" s="3"/>
      <c r="D57" s="3"/>
      <c r="E57" s="4" t="str">
        <f t="shared" ref="E57:E63" si="3">A57</f>
        <v>LVIS</v>
      </c>
      <c r="H57" s="3"/>
      <c r="I57" s="3"/>
    </row>
    <row r="58" spans="1:10" x14ac:dyDescent="0.3">
      <c r="A58" s="1" t="s">
        <v>154</v>
      </c>
      <c r="B58">
        <f>'Exh 3-A-1 Actual'!B164</f>
        <v>47</v>
      </c>
      <c r="C58" s="3">
        <f>'Exh 3-A-1 Actual'!D164</f>
        <v>509</v>
      </c>
      <c r="E58" t="str">
        <f t="shared" si="3"/>
        <v xml:space="preserve">  Sales Service</v>
      </c>
      <c r="G58">
        <f>'Exh 3-A-1 Actual'!H164</f>
        <v>47</v>
      </c>
      <c r="H58" s="3">
        <f>'Exh 3-A-1 Actual'!J164</f>
        <v>509</v>
      </c>
      <c r="I58" s="3">
        <f>H58-C58</f>
        <v>0</v>
      </c>
    </row>
    <row r="59" spans="1:10" x14ac:dyDescent="0.3">
      <c r="A59" s="1" t="s">
        <v>161</v>
      </c>
      <c r="B59">
        <f>'Exh 3-A-1 Actual'!B169</f>
        <v>12</v>
      </c>
      <c r="C59">
        <f>'Exh 3-A-1 Actual'!D169</f>
        <v>36</v>
      </c>
      <c r="E59" t="str">
        <f t="shared" si="3"/>
        <v xml:space="preserve">  Load Balancing - Sales</v>
      </c>
      <c r="G59">
        <f>'Exh 3-A-1 Actual'!H169</f>
        <v>12</v>
      </c>
      <c r="H59">
        <f>'Exh 3-A-1 Actual'!J169</f>
        <v>36</v>
      </c>
      <c r="I59">
        <f>H59-C59</f>
        <v>0</v>
      </c>
    </row>
    <row r="60" spans="1:10" x14ac:dyDescent="0.3">
      <c r="A60" s="1" t="s">
        <v>166</v>
      </c>
      <c r="B60">
        <f>SUM('Exh 3-A-1 Actual'!B175:B176)</f>
        <v>765</v>
      </c>
      <c r="C60">
        <f>SUM('Exh 3-A-1 Actual'!D175:D176)</f>
        <v>549</v>
      </c>
      <c r="E60" t="str">
        <f t="shared" si="3"/>
        <v xml:space="preserve">  Transportation (DMT)</v>
      </c>
      <c r="G60">
        <f>SUM('Exh 3-A-1 Actual'!H175:H176)</f>
        <v>765</v>
      </c>
      <c r="H60">
        <f>SUM('Exh 3-A-1 Actual'!J175:J176)</f>
        <v>549</v>
      </c>
      <c r="I60">
        <f>H60-C60</f>
        <v>0</v>
      </c>
    </row>
    <row r="61" spans="1:10" x14ac:dyDescent="0.3">
      <c r="A61" s="1" t="s">
        <v>157</v>
      </c>
      <c r="B61">
        <f>SUM('Exh 3-A-1 Actual'!B173:B174)</f>
        <v>3450</v>
      </c>
      <c r="C61">
        <f>SUM('Exh 3-A-1 Actual'!D172:D174)</f>
        <v>3490</v>
      </c>
      <c r="E61" t="str">
        <f t="shared" si="3"/>
        <v xml:space="preserve">  Transportation (MMT)</v>
      </c>
      <c r="G61">
        <f>SUM('Exh 3-A-1 Actual'!H173:H174)</f>
        <v>3450</v>
      </c>
      <c r="H61">
        <f>SUM('Exh 3-A-1 Actual'!J172:J174)</f>
        <v>3490</v>
      </c>
      <c r="I61">
        <f>H61-C61</f>
        <v>0</v>
      </c>
    </row>
    <row r="62" spans="1:10" x14ac:dyDescent="0.3">
      <c r="A62" s="1" t="s">
        <v>162</v>
      </c>
      <c r="B62">
        <f>'Exh 3-A-1 Actual'!B180</f>
        <v>40</v>
      </c>
      <c r="C62">
        <f>'Exh 3-A-1 Actual'!D180</f>
        <v>18</v>
      </c>
      <c r="E62" t="str">
        <f t="shared" si="3"/>
        <v xml:space="preserve">  Load Balancing - Transportation</v>
      </c>
      <c r="G62">
        <f>'Exh 3-A-1 Actual'!H180</f>
        <v>40</v>
      </c>
      <c r="H62">
        <f>'Exh 3-A-1 Actual'!J180</f>
        <v>18</v>
      </c>
      <c r="I62">
        <f>H62-C62</f>
        <v>0</v>
      </c>
    </row>
    <row r="63" spans="1:10" x14ac:dyDescent="0.3">
      <c r="A63" s="1" t="s">
        <v>167</v>
      </c>
      <c r="B63" s="12">
        <f>SUM(B58:B62)</f>
        <v>4314</v>
      </c>
      <c r="C63" s="13">
        <f>SUM(C58:C62)</f>
        <v>4602</v>
      </c>
      <c r="D63" s="3" t="str">
        <f>IF(C63='Exh 3-A-1 Actual'!D183,"",C63-'Exh 3-A-1 Actual'!D183)</f>
        <v/>
      </c>
      <c r="E63" t="str">
        <f t="shared" si="3"/>
        <v xml:space="preserve">  Total LVIS</v>
      </c>
      <c r="G63" s="12">
        <f>SUM(G58:G62)</f>
        <v>4314</v>
      </c>
      <c r="H63" s="13">
        <f>SUM(H58:H62)</f>
        <v>4602</v>
      </c>
      <c r="I63" s="13">
        <f>SUM(I58:I62)</f>
        <v>0</v>
      </c>
      <c r="J63" s="13">
        <f>H63-$C63</f>
        <v>0</v>
      </c>
    </row>
    <row r="64" spans="1:10" x14ac:dyDescent="0.3">
      <c r="A64" s="1"/>
      <c r="B64" s="18"/>
      <c r="C64" s="21"/>
      <c r="D64" s="3"/>
      <c r="G64" s="18"/>
      <c r="H64" s="21"/>
      <c r="I64" s="21"/>
    </row>
    <row r="65" spans="1:10" x14ac:dyDescent="0.3">
      <c r="D65" s="3"/>
    </row>
    <row r="66" spans="1:10" x14ac:dyDescent="0.3">
      <c r="A66" s="4" t="s">
        <v>29</v>
      </c>
      <c r="C66" s="3"/>
      <c r="D66" s="3"/>
      <c r="E66" s="4" t="str">
        <f t="shared" ref="E66:E72" si="4">A66</f>
        <v>LIS</v>
      </c>
      <c r="H66" s="3"/>
      <c r="I66" s="3"/>
    </row>
    <row r="67" spans="1:10" x14ac:dyDescent="0.3">
      <c r="A67" s="1" t="s">
        <v>154</v>
      </c>
      <c r="B67">
        <f>'Exh 3-A-1 Actual'!B197</f>
        <v>12</v>
      </c>
      <c r="C67" s="3">
        <f>'Exh 3-A-1 Actual'!D197</f>
        <v>154</v>
      </c>
      <c r="E67" t="str">
        <f t="shared" si="4"/>
        <v xml:space="preserve">  Sales Service</v>
      </c>
      <c r="G67">
        <f>'Exh 3-A-1 Actual'!H197</f>
        <v>12</v>
      </c>
      <c r="H67" s="3">
        <f>'Exh 3-A-1 Actual'!J197</f>
        <v>154</v>
      </c>
      <c r="I67" s="3">
        <f>H67-C67</f>
        <v>0</v>
      </c>
    </row>
    <row r="68" spans="1:10" x14ac:dyDescent="0.3">
      <c r="A68" s="1" t="s">
        <v>161</v>
      </c>
      <c r="B68">
        <f>'Exh 3-A-1 Actual'!B202</f>
        <v>148</v>
      </c>
      <c r="C68">
        <f>'Exh 3-A-1 Actual'!D202</f>
        <v>425</v>
      </c>
      <c r="E68" t="str">
        <f t="shared" si="4"/>
        <v xml:space="preserve">  Load Balancing - Sales</v>
      </c>
      <c r="G68">
        <f>'Exh 3-A-1 Actual'!H202</f>
        <v>148</v>
      </c>
      <c r="H68">
        <f>'Exh 3-A-1 Actual'!J202</f>
        <v>425</v>
      </c>
      <c r="I68">
        <f>H68-C68</f>
        <v>0</v>
      </c>
    </row>
    <row r="69" spans="1:10" x14ac:dyDescent="0.3">
      <c r="A69" s="1" t="s">
        <v>166</v>
      </c>
      <c r="B69">
        <f>SUM('Exh 3-A-1 Actual'!B209:B210)</f>
        <v>7044</v>
      </c>
      <c r="C69">
        <f>'Exh 3-A-1 Actual'!D206+SUM('Exh 3-A-1 Actual'!D209:D210)</f>
        <v>2141</v>
      </c>
      <c r="E69" t="str">
        <f t="shared" si="4"/>
        <v xml:space="preserve">  Transportation (DMT)</v>
      </c>
      <c r="G69">
        <f>SUM('Exh 3-A-1 Actual'!H209:H210)</f>
        <v>7044</v>
      </c>
      <c r="H69">
        <f>'Exh 3-A-1 Actual'!J206+SUM('Exh 3-A-1 Actual'!J209:J210)</f>
        <v>2141</v>
      </c>
      <c r="I69">
        <f>H69-C69</f>
        <v>0</v>
      </c>
    </row>
    <row r="70" spans="1:10" x14ac:dyDescent="0.3">
      <c r="A70" s="1" t="s">
        <v>157</v>
      </c>
      <c r="B70">
        <f>SUM('Exh 3-A-1 Actual'!B207:B208)</f>
        <v>845</v>
      </c>
      <c r="C70">
        <f>SUM('Exh 3-A-1 Actual'!D207:D208)</f>
        <v>532</v>
      </c>
      <c r="E70" t="str">
        <f t="shared" si="4"/>
        <v xml:space="preserve">  Transportation (MMT)</v>
      </c>
      <c r="G70">
        <f>SUM('Exh 3-A-1 Actual'!H207:H208)</f>
        <v>845</v>
      </c>
      <c r="H70">
        <f>SUM('Exh 3-A-1 Actual'!J207:J208)</f>
        <v>532</v>
      </c>
      <c r="I70">
        <f>H70-C70</f>
        <v>0</v>
      </c>
    </row>
    <row r="71" spans="1:10" x14ac:dyDescent="0.3">
      <c r="A71" s="1" t="s">
        <v>162</v>
      </c>
      <c r="B71">
        <f>'Exh 3-A-1 Actual'!B189</f>
        <v>0</v>
      </c>
      <c r="C71">
        <f>'Exh 3-A-1 Actual'!D189</f>
        <v>0</v>
      </c>
      <c r="E71" t="str">
        <f t="shared" si="4"/>
        <v xml:space="preserve">  Load Balancing - Transportation</v>
      </c>
      <c r="G71">
        <f>'Exh 3-A-1 Actual'!H189</f>
        <v>0</v>
      </c>
      <c r="H71">
        <f>'Exh 3-A-1 Actual'!J189</f>
        <v>0</v>
      </c>
      <c r="I71">
        <f>H71-C71</f>
        <v>0</v>
      </c>
    </row>
    <row r="72" spans="1:10" x14ac:dyDescent="0.3">
      <c r="A72" s="1" t="s">
        <v>168</v>
      </c>
      <c r="B72" s="12">
        <f>SUM(B67:B71)</f>
        <v>8049</v>
      </c>
      <c r="C72" s="13">
        <f>SUM(C67:C71)</f>
        <v>3252</v>
      </c>
      <c r="D72" s="3" t="str">
        <f>IF(C72='Exh 3-A-1 Actual'!D218,"",C72-'Exh 3-A-1 Actual'!D218)</f>
        <v/>
      </c>
      <c r="E72" t="str">
        <f t="shared" si="4"/>
        <v xml:space="preserve">  Total LIS</v>
      </c>
      <c r="G72" s="12">
        <f>SUM(G67:G71)</f>
        <v>8049</v>
      </c>
      <c r="H72" s="13">
        <f>SUM(H67:H71)</f>
        <v>3252</v>
      </c>
      <c r="I72" s="13">
        <f>SUM(I67:I71)</f>
        <v>0</v>
      </c>
      <c r="J72" s="13">
        <f>H72-$C72</f>
        <v>0</v>
      </c>
    </row>
    <row r="73" spans="1:10" x14ac:dyDescent="0.3">
      <c r="A73" s="1"/>
      <c r="B73" s="18"/>
      <c r="C73" s="21"/>
      <c r="D73" s="3"/>
      <c r="G73" s="18"/>
      <c r="H73" s="21"/>
      <c r="I73" s="21"/>
    </row>
    <row r="74" spans="1:10" x14ac:dyDescent="0.3">
      <c r="C74" s="3"/>
      <c r="D74" s="3"/>
    </row>
    <row r="75" spans="1:10" x14ac:dyDescent="0.3">
      <c r="A75" s="4" t="s">
        <v>147</v>
      </c>
      <c r="C75" s="3"/>
      <c r="D75" s="3"/>
      <c r="E75" s="4" t="s">
        <v>147</v>
      </c>
    </row>
    <row r="76" spans="1:10" x14ac:dyDescent="0.3">
      <c r="A76" s="4" t="s">
        <v>148</v>
      </c>
      <c r="B76" s="12">
        <f>B16+B23+B30+B39+B46+B54+B63+B72</f>
        <v>46885</v>
      </c>
      <c r="C76" s="13">
        <f>C16+C23+C30+C39+C46+C54+C63+C72</f>
        <v>216766</v>
      </c>
      <c r="D76" s="3"/>
      <c r="E76" s="4" t="s">
        <v>148</v>
      </c>
      <c r="G76" s="12">
        <f>G16+G23+G30+G39+G46+G54+G63+G72</f>
        <v>46885</v>
      </c>
      <c r="H76" s="13">
        <f>H16+H23+H30+H39+H46+H54+H63+H72</f>
        <v>217218</v>
      </c>
      <c r="I76" s="13">
        <f>I16+I23+I30+I39+I46+I54+I63+I72</f>
        <v>452</v>
      </c>
      <c r="J76" s="13">
        <f>H76-C76</f>
        <v>452</v>
      </c>
    </row>
    <row r="77" spans="1:10" x14ac:dyDescent="0.3">
      <c r="B77" s="20" t="str">
        <f>IF('Exh 3-A-1 Actual'!B221+'Exh 3-A-1 Actual (SATC)'!B70=B76,"","Volume Error")</f>
        <v/>
      </c>
      <c r="C77" s="25" t="str">
        <f>IF('Exh 3-A-1 Actual'!D221+'Exh 3-A-1 Actual (SATC)'!D70=C76,"","Revenue Error")</f>
        <v/>
      </c>
      <c r="G77" s="20" t="str">
        <f>IF('Exh 3-A-1 Actual'!H221+'Exh 3-A-1 Actual (SATC)'!G70=G76,"","Volume Error")</f>
        <v/>
      </c>
      <c r="H77" s="25" t="str">
        <f>IF('Exh 3-A-1 Actual'!J221+'Exh 3-A-1 Actual (SATC)'!I70=H76,"","Revenue Error")</f>
        <v/>
      </c>
    </row>
    <row r="80" spans="1:10" x14ac:dyDescent="0.3">
      <c r="A80" s="1"/>
      <c r="E80" s="1"/>
    </row>
    <row r="81" spans="2:8" x14ac:dyDescent="0.3">
      <c r="B81" s="2" t="str">
        <f>IF('Exh 3-A-1 Actual'!B221+'Exh 3-A-1 Actual (SATC)'!B70=B76,"Volume OK","Volume Error")</f>
        <v>Volume OK</v>
      </c>
      <c r="C81" s="23" t="str">
        <f>IF('Exh 3-A-1 Actual'!D221+'Exh 3-A-1 Actual (SATC)'!D70=C76,"Revenue OK","Revenue Error")</f>
        <v>Revenue OK</v>
      </c>
      <c r="G81" s="2" t="str">
        <f>IF('Exh 3-A-1 Actual'!H221+'Exh 3-A-1 Actual (SATC)'!G70=G76,"Volume OK","Volume Error")</f>
        <v>Volume OK</v>
      </c>
      <c r="H81" s="23" t="str">
        <f>IF('Exh 3-A-1 Actual'!J221+'Exh 3-A-1 Actual (SATC)'!I70=H76,"Revenue OK","Revenue Error")</f>
        <v>Revenue OK</v>
      </c>
    </row>
    <row r="82" spans="2:8" x14ac:dyDescent="0.3">
      <c r="B82" s="27">
        <f>'Exh 3-A-1 Actual'!B221+'Exh 3-A-1 Actual (SATC)'!B70</f>
        <v>46885</v>
      </c>
      <c r="C82" s="21">
        <f>'Exh 3-A-1 Actual'!D221+'Exh 3-A-1 Actual (SATC)'!D70</f>
        <v>216766</v>
      </c>
      <c r="G82" s="27">
        <f>'Exh 3-A-1 Actual'!H221+'Exh 3-A-1 Actual (SATC)'!G70</f>
        <v>46885</v>
      </c>
      <c r="H82" s="21">
        <f>'Exh 3-A-1 Actual'!J221+'Exh 3-A-1 Actual (SATC)'!I70</f>
        <v>217218</v>
      </c>
    </row>
    <row r="83" spans="2:8" x14ac:dyDescent="0.3">
      <c r="B83">
        <f>B76-B82</f>
        <v>0</v>
      </c>
      <c r="C83" s="21">
        <f>C76-C82</f>
        <v>0</v>
      </c>
      <c r="G83">
        <f>G76-G82</f>
        <v>0</v>
      </c>
      <c r="H83" s="21">
        <f>H76-H82</f>
        <v>0</v>
      </c>
    </row>
    <row r="86" spans="2:8" x14ac:dyDescent="0.3">
      <c r="B86" s="2"/>
    </row>
    <row r="87" spans="2:8" x14ac:dyDescent="0.3">
      <c r="B87" s="27"/>
    </row>
  </sheetData>
  <printOptions gridLinesSet="0"/>
  <pageMargins left="1" right="1" top="0.75" bottom="0.75" header="0.5" footer="0.5"/>
  <pageSetup scale="70" orientation="landscape" horizontalDpi="4294967292" r:id="rId1"/>
  <headerFooter alignWithMargins="0">
    <oddFooter>&amp;L&amp;"Times New Roman,Regular"&amp;10&amp;F, &amp;A&amp;C&amp;"Times New Roman,Regular"&amp;10Page &amp;P of &amp;N&amp;R&amp;"Times New Roman,Regular"&amp;10&amp;D</oddFooter>
  </headerFooter>
  <rowBreaks count="1" manualBreakCount="1">
    <brk id="47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zoomScale="75" workbookViewId="0"/>
  </sheetViews>
  <sheetFormatPr defaultColWidth="12.81640625" defaultRowHeight="15.6" x14ac:dyDescent="0.3"/>
  <cols>
    <col min="1" max="1" width="21.81640625" customWidth="1"/>
    <col min="2" max="2" width="12.6328125" customWidth="1"/>
    <col min="3" max="3" width="11.36328125" customWidth="1"/>
    <col min="4" max="4" width="11.54296875" customWidth="1"/>
    <col min="5" max="5" width="6.08984375" customWidth="1"/>
    <col min="6" max="6" width="21.90625" customWidth="1"/>
    <col min="7" max="7" width="11.1796875" customWidth="1"/>
    <col min="8" max="8" width="10.08984375" customWidth="1"/>
    <col min="9" max="9" width="10.54296875" customWidth="1"/>
    <col min="10" max="10" width="10.6328125" customWidth="1"/>
  </cols>
  <sheetData>
    <row r="1" spans="1:10" x14ac:dyDescent="0.3">
      <c r="J1" s="1" t="s">
        <v>65</v>
      </c>
    </row>
    <row r="2" spans="1:10" x14ac:dyDescent="0.3">
      <c r="A2" s="9" t="s">
        <v>66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9" t="s">
        <v>68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69</v>
      </c>
      <c r="B5" s="9"/>
      <c r="C5" s="9"/>
      <c r="D5" s="9"/>
      <c r="E5" s="9"/>
      <c r="F5" s="9"/>
      <c r="G5" s="9"/>
      <c r="H5" s="9"/>
      <c r="I5" s="9"/>
      <c r="J5" s="9"/>
    </row>
    <row r="6" spans="1:10" x14ac:dyDescent="0.3">
      <c r="A6" s="9" t="s">
        <v>70</v>
      </c>
      <c r="B6" s="9"/>
      <c r="C6" s="9"/>
      <c r="D6" s="9"/>
      <c r="E6" s="9"/>
      <c r="F6" s="9"/>
      <c r="G6" s="9"/>
      <c r="H6" s="9"/>
      <c r="I6" s="9"/>
      <c r="J6" s="9"/>
    </row>
    <row r="7" spans="1:10" ht="18" x14ac:dyDescent="0.35">
      <c r="A7" s="28" t="s">
        <v>169</v>
      </c>
      <c r="B7" s="9"/>
      <c r="C7" s="9"/>
      <c r="D7" s="9"/>
      <c r="E7" s="9"/>
      <c r="F7" s="9"/>
      <c r="G7" s="9"/>
      <c r="H7" s="9"/>
      <c r="I7" s="9"/>
      <c r="J7" s="9"/>
    </row>
    <row r="9" spans="1:10" x14ac:dyDescent="0.3">
      <c r="B9" s="9" t="s">
        <v>71</v>
      </c>
      <c r="C9" s="9"/>
      <c r="D9" s="9"/>
      <c r="F9" s="9"/>
      <c r="G9" s="9" t="s">
        <v>72</v>
      </c>
      <c r="H9" s="9"/>
      <c r="I9" s="9"/>
      <c r="J9" s="22"/>
    </row>
    <row r="11" spans="1:10" x14ac:dyDescent="0.3">
      <c r="B11" s="26" t="s">
        <v>73</v>
      </c>
      <c r="C11" s="14" t="s">
        <v>74</v>
      </c>
      <c r="D11" s="14" t="s">
        <v>75</v>
      </c>
      <c r="E11" s="15"/>
      <c r="F11" s="24" t="s">
        <v>76</v>
      </c>
      <c r="G11" s="14" t="str">
        <f>B11</f>
        <v>Actual MMcf</v>
      </c>
      <c r="H11" s="14" t="s">
        <v>74</v>
      </c>
      <c r="I11" s="14" t="s">
        <v>75</v>
      </c>
      <c r="J11" s="14" t="s">
        <v>77</v>
      </c>
    </row>
    <row r="12" spans="1:10" x14ac:dyDescent="0.3">
      <c r="B12" s="11">
        <v>-1</v>
      </c>
      <c r="C12" s="11" t="s">
        <v>78</v>
      </c>
      <c r="D12" s="11">
        <v>-3</v>
      </c>
      <c r="F12" s="11">
        <v>-4</v>
      </c>
      <c r="G12" s="11">
        <v>-5</v>
      </c>
      <c r="H12" s="19" t="s">
        <v>79</v>
      </c>
      <c r="I12" s="11" t="s">
        <v>80</v>
      </c>
      <c r="J12" s="11" t="s">
        <v>81</v>
      </c>
    </row>
    <row r="14" spans="1:10" x14ac:dyDescent="0.3">
      <c r="A14" s="4" t="s">
        <v>82</v>
      </c>
      <c r="F14" s="4" t="str">
        <f t="shared" ref="F14:F20" si="0">A14</f>
        <v>RESIDENTIAL</v>
      </c>
    </row>
    <row r="15" spans="1:10" x14ac:dyDescent="0.3">
      <c r="A15" s="1" t="s">
        <v>83</v>
      </c>
      <c r="B15">
        <v>220273</v>
      </c>
      <c r="C15" s="7">
        <v>11.1</v>
      </c>
      <c r="D15" s="3">
        <f>ROUND(C15*B15/1000,0)</f>
        <v>2445</v>
      </c>
      <c r="F15" t="str">
        <f t="shared" si="0"/>
        <v xml:space="preserve"> Bills</v>
      </c>
      <c r="G15">
        <f>B15</f>
        <v>220273</v>
      </c>
      <c r="H15" s="5">
        <f>C15</f>
        <v>11.1</v>
      </c>
      <c r="I15" s="3">
        <f>ROUND(H15*$G15/1000,0)</f>
        <v>2445</v>
      </c>
    </row>
    <row r="16" spans="1:10" x14ac:dyDescent="0.3">
      <c r="A16" s="1" t="s">
        <v>84</v>
      </c>
      <c r="B16">
        <v>845</v>
      </c>
      <c r="C16" s="8">
        <v>2.9716999999999998</v>
      </c>
      <c r="D16">
        <f>ROUND(C16*B16,0)</f>
        <v>2511</v>
      </c>
      <c r="F16" t="str">
        <f t="shared" si="0"/>
        <v xml:space="preserve"> First 5 Mcf</v>
      </c>
      <c r="G16">
        <f>B16</f>
        <v>845</v>
      </c>
      <c r="H16" s="6">
        <v>3.1547000000000001</v>
      </c>
      <c r="I16">
        <f>ROUND(H16*$G16,0)</f>
        <v>2666</v>
      </c>
    </row>
    <row r="17" spans="1:10" x14ac:dyDescent="0.3">
      <c r="A17" s="1" t="s">
        <v>85</v>
      </c>
      <c r="B17">
        <v>1147</v>
      </c>
      <c r="C17" s="8">
        <v>2.4944000000000002</v>
      </c>
      <c r="D17">
        <f>ROUND(C17*B17,0)</f>
        <v>2861</v>
      </c>
      <c r="F17" t="str">
        <f t="shared" si="0"/>
        <v xml:space="preserve"> Over 5 Mcf</v>
      </c>
      <c r="G17">
        <f>B17</f>
        <v>1147</v>
      </c>
      <c r="H17" s="6">
        <v>2.6774</v>
      </c>
      <c r="I17">
        <f>ROUND(H17*$G17,0)</f>
        <v>3071</v>
      </c>
    </row>
    <row r="18" spans="1:10" x14ac:dyDescent="0.3">
      <c r="A18" s="1" t="s">
        <v>86</v>
      </c>
      <c r="B18" s="12">
        <f>SUM(B16:B17)</f>
        <v>1992</v>
      </c>
      <c r="D18" s="13">
        <f>SUM(D15:D17)</f>
        <v>7817</v>
      </c>
      <c r="F18" t="str">
        <f t="shared" si="0"/>
        <v xml:space="preserve">  Total</v>
      </c>
      <c r="G18" s="12">
        <f>SUM(G16:G17)</f>
        <v>1992</v>
      </c>
      <c r="I18" s="13">
        <f>SUM(I15:I17)</f>
        <v>8182</v>
      </c>
    </row>
    <row r="19" spans="1:10" x14ac:dyDescent="0.3">
      <c r="A19" s="1" t="s">
        <v>87</v>
      </c>
      <c r="D19">
        <f>ROUND(0*D18,0)</f>
        <v>0</v>
      </c>
      <c r="F19" t="str">
        <f t="shared" si="0"/>
        <v xml:space="preserve">  Revenue Adjustment</v>
      </c>
      <c r="I19">
        <f>ROUND(0*I18,0)</f>
        <v>0</v>
      </c>
    </row>
    <row r="20" spans="1:10" x14ac:dyDescent="0.3">
      <c r="A20" s="1" t="s">
        <v>86</v>
      </c>
      <c r="B20" s="12">
        <f>B18</f>
        <v>1992</v>
      </c>
      <c r="D20" s="13">
        <f>D18+D19</f>
        <v>7817</v>
      </c>
      <c r="E20" s="3"/>
      <c r="F20" s="29" t="str">
        <f t="shared" si="0"/>
        <v xml:space="preserve">  Total</v>
      </c>
      <c r="G20" s="12">
        <f>G18</f>
        <v>1992</v>
      </c>
      <c r="I20" s="13">
        <f>I18+I19</f>
        <v>8182</v>
      </c>
      <c r="J20" s="13">
        <f>I20-D20</f>
        <v>365</v>
      </c>
    </row>
    <row r="21" spans="1:10" x14ac:dyDescent="0.3">
      <c r="A21" s="4"/>
      <c r="B21" s="18"/>
      <c r="D21" s="18"/>
      <c r="E21" s="3"/>
      <c r="F21" s="1"/>
      <c r="G21" s="18"/>
      <c r="I21" s="18"/>
    </row>
    <row r="22" spans="1:10" x14ac:dyDescent="0.3">
      <c r="A22" s="4"/>
      <c r="B22" s="18"/>
      <c r="D22" s="18"/>
      <c r="E22" s="3"/>
      <c r="F22" s="1"/>
      <c r="G22" s="18"/>
      <c r="I22" s="18"/>
    </row>
    <row r="23" spans="1:10" x14ac:dyDescent="0.3">
      <c r="A23" s="4" t="s">
        <v>98</v>
      </c>
      <c r="E23" s="3"/>
      <c r="F23" s="4" t="str">
        <f t="shared" ref="F23:F29" si="1">A23</f>
        <v>SMALL COMMERCIAL &amp; PUBLIC AUTHORITY &lt; 250 MCF</v>
      </c>
    </row>
    <row r="24" spans="1:10" x14ac:dyDescent="0.3">
      <c r="A24" s="1" t="s">
        <v>83</v>
      </c>
      <c r="B24">
        <v>9395</v>
      </c>
      <c r="C24" s="7">
        <v>15.44</v>
      </c>
      <c r="D24" s="3">
        <f>ROUND(C24*B24/1000,0)</f>
        <v>145</v>
      </c>
      <c r="E24" s="3"/>
      <c r="F24" t="str">
        <f t="shared" si="1"/>
        <v xml:space="preserve"> Bills</v>
      </c>
      <c r="G24">
        <f>B24</f>
        <v>9395</v>
      </c>
      <c r="H24" s="5">
        <f>C24</f>
        <v>15.44</v>
      </c>
      <c r="I24" s="3">
        <f>ROUND(H24*G24/1000,0)</f>
        <v>145</v>
      </c>
    </row>
    <row r="25" spans="1:10" x14ac:dyDescent="0.3">
      <c r="A25" s="1" t="s">
        <v>99</v>
      </c>
      <c r="B25">
        <v>31</v>
      </c>
      <c r="C25" s="8">
        <v>3.2808000000000002</v>
      </c>
      <c r="D25">
        <f>ROUND(C25*B25,0)</f>
        <v>102</v>
      </c>
      <c r="E25" s="3"/>
      <c r="F25" t="str">
        <f t="shared" si="1"/>
        <v xml:space="preserve"> First  5 Mcf</v>
      </c>
      <c r="G25">
        <f>B25</f>
        <v>31</v>
      </c>
      <c r="H25" s="6">
        <v>3.4638</v>
      </c>
      <c r="I25">
        <f>ROUND(H25*G25,0)</f>
        <v>107</v>
      </c>
      <c r="J25" s="3"/>
    </row>
    <row r="26" spans="1:10" x14ac:dyDescent="0.3">
      <c r="A26" s="1" t="s">
        <v>85</v>
      </c>
      <c r="B26">
        <v>54</v>
      </c>
      <c r="C26" s="8">
        <v>3.1173999999999999</v>
      </c>
      <c r="D26">
        <f>ROUND(C26*B26,0)</f>
        <v>168</v>
      </c>
      <c r="E26" s="3"/>
      <c r="F26" t="str">
        <f t="shared" si="1"/>
        <v xml:space="preserve"> Over 5 Mcf</v>
      </c>
      <c r="G26">
        <f>B26</f>
        <v>54</v>
      </c>
      <c r="H26" s="6">
        <v>3.3003999999999998</v>
      </c>
      <c r="I26">
        <f>ROUND(H26*G26,0)</f>
        <v>178</v>
      </c>
    </row>
    <row r="27" spans="1:10" x14ac:dyDescent="0.3">
      <c r="A27" s="1" t="s">
        <v>86</v>
      </c>
      <c r="B27" s="12">
        <f>SUM(B25:B26)</f>
        <v>85</v>
      </c>
      <c r="D27" s="13">
        <f>SUM(D24:D26)</f>
        <v>415</v>
      </c>
      <c r="E27" s="3"/>
      <c r="F27" t="str">
        <f t="shared" si="1"/>
        <v xml:space="preserve">  Total</v>
      </c>
      <c r="G27" s="12">
        <f>SUM(G25:G26)</f>
        <v>85</v>
      </c>
      <c r="I27" s="13">
        <f>SUM(I24:I26)</f>
        <v>430</v>
      </c>
    </row>
    <row r="28" spans="1:10" x14ac:dyDescent="0.3">
      <c r="A28" s="1" t="s">
        <v>87</v>
      </c>
      <c r="D28">
        <f>ROUND(0*D27,0)</f>
        <v>0</v>
      </c>
      <c r="E28" s="3"/>
      <c r="F28" t="str">
        <f t="shared" si="1"/>
        <v xml:space="preserve">  Revenue Adjustment</v>
      </c>
      <c r="I28">
        <f>ROUND(0*I27,0)</f>
        <v>0</v>
      </c>
    </row>
    <row r="29" spans="1:10" x14ac:dyDescent="0.3">
      <c r="A29" s="1" t="s">
        <v>86</v>
      </c>
      <c r="B29" s="12">
        <f>B27</f>
        <v>85</v>
      </c>
      <c r="C29" s="8"/>
      <c r="D29" s="13">
        <f>D27+D28</f>
        <v>415</v>
      </c>
      <c r="E29" s="3"/>
      <c r="F29" t="str">
        <f t="shared" si="1"/>
        <v xml:space="preserve">  Total</v>
      </c>
      <c r="G29" s="12">
        <f>G27</f>
        <v>85</v>
      </c>
      <c r="I29" s="13">
        <f>I27+I28</f>
        <v>430</v>
      </c>
      <c r="J29" s="13">
        <f>I29-D29</f>
        <v>15</v>
      </c>
    </row>
    <row r="30" spans="1:10" x14ac:dyDescent="0.3">
      <c r="A30" s="4"/>
      <c r="B30" s="18"/>
      <c r="D30" s="18"/>
      <c r="E30" s="3"/>
      <c r="F30" s="1"/>
      <c r="G30" s="18"/>
      <c r="I30" s="18"/>
    </row>
    <row r="31" spans="1:10" x14ac:dyDescent="0.3">
      <c r="E31" s="3"/>
    </row>
    <row r="32" spans="1:10" x14ac:dyDescent="0.3">
      <c r="A32" s="4" t="s">
        <v>100</v>
      </c>
      <c r="E32" s="3"/>
      <c r="F32" s="4" t="str">
        <f t="shared" ref="F32:F38" si="2">A32</f>
        <v>SMALL COMMERCIAL &amp; PUBLIC AUTHORITY &gt; 250 MCF</v>
      </c>
    </row>
    <row r="33" spans="1:10" x14ac:dyDescent="0.3">
      <c r="A33" s="1" t="s">
        <v>83</v>
      </c>
      <c r="B33">
        <v>4632</v>
      </c>
      <c r="C33" s="7">
        <v>26.13</v>
      </c>
      <c r="D33" s="3">
        <f>ROUND(C33*B33/1000,0)</f>
        <v>121</v>
      </c>
      <c r="E33" s="3"/>
      <c r="F33" t="str">
        <f t="shared" si="2"/>
        <v xml:space="preserve"> Bills</v>
      </c>
      <c r="G33">
        <f>B33</f>
        <v>4632</v>
      </c>
      <c r="H33" s="5">
        <f>C33</f>
        <v>26.13</v>
      </c>
      <c r="I33" s="3">
        <f>ROUND(H33*G33/1000,0)</f>
        <v>121</v>
      </c>
    </row>
    <row r="34" spans="1:10" x14ac:dyDescent="0.3">
      <c r="A34" s="1" t="s">
        <v>101</v>
      </c>
      <c r="B34">
        <v>65</v>
      </c>
      <c r="C34" s="8">
        <v>2.8607999999999998</v>
      </c>
      <c r="D34">
        <f>ROUND(C34*B34,0)</f>
        <v>186</v>
      </c>
      <c r="E34" s="3"/>
      <c r="F34" t="str">
        <f t="shared" si="2"/>
        <v xml:space="preserve"> First  20 Mcf</v>
      </c>
      <c r="G34">
        <f>B34</f>
        <v>65</v>
      </c>
      <c r="H34" s="6">
        <v>3.0430000000000001</v>
      </c>
      <c r="I34">
        <f>ROUND(H34*G34,0)</f>
        <v>198</v>
      </c>
      <c r="J34" s="3"/>
    </row>
    <row r="35" spans="1:10" x14ac:dyDescent="0.3">
      <c r="A35" s="1" t="s">
        <v>102</v>
      </c>
      <c r="B35">
        <v>88</v>
      </c>
      <c r="C35" s="8">
        <v>2.7307999999999999</v>
      </c>
      <c r="D35">
        <f>ROUND(C35*B35,0)</f>
        <v>240</v>
      </c>
      <c r="E35" s="3"/>
      <c r="F35" t="str">
        <f t="shared" si="2"/>
        <v xml:space="preserve"> Over  20 Mcf</v>
      </c>
      <c r="G35">
        <f>B35</f>
        <v>88</v>
      </c>
      <c r="H35" s="6">
        <v>2.9138000000000002</v>
      </c>
      <c r="I35">
        <f>ROUND(H35*G35,0)</f>
        <v>256</v>
      </c>
    </row>
    <row r="36" spans="1:10" x14ac:dyDescent="0.3">
      <c r="A36" s="1" t="s">
        <v>86</v>
      </c>
      <c r="B36" s="12">
        <f>SUM(B34:B35)</f>
        <v>153</v>
      </c>
      <c r="D36" s="13">
        <f>SUM(D33:D35)</f>
        <v>547</v>
      </c>
      <c r="E36" s="3"/>
      <c r="F36" t="str">
        <f t="shared" si="2"/>
        <v xml:space="preserve">  Total</v>
      </c>
      <c r="G36" s="12">
        <f>SUM(G34:G35)</f>
        <v>153</v>
      </c>
      <c r="I36" s="13">
        <f>SUM(I33:I35)</f>
        <v>575</v>
      </c>
    </row>
    <row r="37" spans="1:10" x14ac:dyDescent="0.3">
      <c r="A37" s="1" t="s">
        <v>87</v>
      </c>
      <c r="D37">
        <f>ROUND(0*D36,0)</f>
        <v>0</v>
      </c>
      <c r="E37" s="3"/>
      <c r="F37" t="str">
        <f t="shared" si="2"/>
        <v xml:space="preserve">  Revenue Adjustment</v>
      </c>
      <c r="I37">
        <f>ROUND(0*I36,0)</f>
        <v>0</v>
      </c>
    </row>
    <row r="38" spans="1:10" x14ac:dyDescent="0.3">
      <c r="A38" s="1" t="s">
        <v>86</v>
      </c>
      <c r="B38" s="12">
        <f>B36</f>
        <v>153</v>
      </c>
      <c r="C38" s="8"/>
      <c r="D38" s="13">
        <f>D36+D37</f>
        <v>547</v>
      </c>
      <c r="E38" s="3"/>
      <c r="F38" t="str">
        <f t="shared" si="2"/>
        <v xml:space="preserve">  Total</v>
      </c>
      <c r="G38" s="12">
        <f>G36</f>
        <v>153</v>
      </c>
      <c r="I38" s="13">
        <f>I36+I37</f>
        <v>575</v>
      </c>
      <c r="J38" s="13">
        <f>I38-D38</f>
        <v>28</v>
      </c>
    </row>
    <row r="39" spans="1:10" x14ac:dyDescent="0.3">
      <c r="E39" s="3"/>
    </row>
    <row r="40" spans="1:10" x14ac:dyDescent="0.3">
      <c r="E40" s="3"/>
    </row>
    <row r="41" spans="1:10" x14ac:dyDescent="0.3">
      <c r="A41" s="4" t="s">
        <v>103</v>
      </c>
      <c r="E41" s="3"/>
      <c r="F41" s="4" t="str">
        <f t="shared" ref="F41:F48" si="3">A41</f>
        <v>LARGE COMMERCIAL &amp; PUBLIC AUTHORITY</v>
      </c>
    </row>
    <row r="42" spans="1:10" x14ac:dyDescent="0.3">
      <c r="A42" s="1" t="s">
        <v>83</v>
      </c>
      <c r="B42">
        <v>1655</v>
      </c>
      <c r="C42" s="7">
        <v>121.13</v>
      </c>
      <c r="D42" s="3">
        <f>ROUND(C42*B42/1000,0)</f>
        <v>200</v>
      </c>
      <c r="E42" s="3"/>
      <c r="F42" t="str">
        <f t="shared" si="3"/>
        <v xml:space="preserve"> Bills</v>
      </c>
      <c r="G42">
        <f>B42</f>
        <v>1655</v>
      </c>
      <c r="H42" s="5">
        <f>C42</f>
        <v>121.13</v>
      </c>
      <c r="I42" s="3">
        <f>ROUND(H42*G42/1000,0)</f>
        <v>200</v>
      </c>
    </row>
    <row r="43" spans="1:10" x14ac:dyDescent="0.3">
      <c r="A43" s="1" t="s">
        <v>104</v>
      </c>
      <c r="B43">
        <v>165</v>
      </c>
      <c r="C43" s="8">
        <v>2.0404</v>
      </c>
      <c r="D43">
        <f>ROUND(C43*B43,0)</f>
        <v>337</v>
      </c>
      <c r="E43" s="3"/>
      <c r="F43" t="str">
        <f t="shared" si="3"/>
        <v xml:space="preserve"> First    300 Mcf</v>
      </c>
      <c r="G43">
        <f>B43</f>
        <v>165</v>
      </c>
      <c r="H43" s="6">
        <v>2.2233999999999998</v>
      </c>
      <c r="I43">
        <f>ROUND(H43*G43,0)</f>
        <v>367</v>
      </c>
      <c r="J43" s="3"/>
    </row>
    <row r="44" spans="1:10" x14ac:dyDescent="0.3">
      <c r="A44" s="1" t="s">
        <v>105</v>
      </c>
      <c r="B44">
        <v>55</v>
      </c>
      <c r="C44" s="8">
        <v>1.9098999999999999</v>
      </c>
      <c r="D44">
        <f>ROUND(C44*B44,0)</f>
        <v>105</v>
      </c>
      <c r="E44" s="3"/>
      <c r="F44" t="str">
        <f t="shared" si="3"/>
        <v xml:space="preserve"> Next  1,700 Mcf</v>
      </c>
      <c r="G44">
        <f>B44</f>
        <v>55</v>
      </c>
      <c r="H44" s="6">
        <v>2.0929000000000002</v>
      </c>
      <c r="I44">
        <f>ROUND(H44*G44,0)</f>
        <v>115</v>
      </c>
    </row>
    <row r="45" spans="1:10" x14ac:dyDescent="0.3">
      <c r="A45" s="1" t="s">
        <v>106</v>
      </c>
      <c r="B45">
        <v>4</v>
      </c>
      <c r="C45" s="8">
        <v>1.7454000000000001</v>
      </c>
      <c r="D45">
        <f>ROUND(C45*B45,0)</f>
        <v>7</v>
      </c>
      <c r="E45" s="3"/>
      <c r="F45" t="str">
        <f t="shared" si="3"/>
        <v xml:space="preserve"> Over  2,000 Mcf</v>
      </c>
      <c r="G45">
        <f>B45</f>
        <v>4</v>
      </c>
      <c r="H45" s="6">
        <v>1.9283999999999999</v>
      </c>
      <c r="I45">
        <f>ROUND(H45*G45,0)</f>
        <v>8</v>
      </c>
    </row>
    <row r="46" spans="1:10" x14ac:dyDescent="0.3">
      <c r="A46" s="1" t="s">
        <v>86</v>
      </c>
      <c r="B46" s="12">
        <f>SUM(B43:B45)</f>
        <v>224</v>
      </c>
      <c r="D46" s="13">
        <f>SUM(D42:D45)</f>
        <v>649</v>
      </c>
      <c r="E46" s="3"/>
      <c r="F46" t="str">
        <f t="shared" si="3"/>
        <v xml:space="preserve">  Total</v>
      </c>
      <c r="G46" s="12">
        <f>SUM(G43:G45)</f>
        <v>224</v>
      </c>
      <c r="I46" s="13">
        <f>SUM(I42:I45)</f>
        <v>690</v>
      </c>
    </row>
    <row r="47" spans="1:10" x14ac:dyDescent="0.3">
      <c r="A47" s="1" t="s">
        <v>87</v>
      </c>
      <c r="D47">
        <f>ROUND(0*D46,0)</f>
        <v>0</v>
      </c>
      <c r="E47" s="3"/>
      <c r="F47" t="str">
        <f t="shared" si="3"/>
        <v xml:space="preserve">  Revenue Adjustment</v>
      </c>
      <c r="I47">
        <f>ROUND(0*I46,0)</f>
        <v>0</v>
      </c>
    </row>
    <row r="48" spans="1:10" x14ac:dyDescent="0.3">
      <c r="A48" s="1" t="s">
        <v>86</v>
      </c>
      <c r="B48" s="12">
        <f>B46</f>
        <v>224</v>
      </c>
      <c r="C48" s="8"/>
      <c r="D48" s="13">
        <f>D46+D47</f>
        <v>649</v>
      </c>
      <c r="E48" s="3"/>
      <c r="F48" t="str">
        <f t="shared" si="3"/>
        <v xml:space="preserve">  Total</v>
      </c>
      <c r="G48" s="12">
        <f>G46</f>
        <v>224</v>
      </c>
      <c r="I48" s="13">
        <f>I46+I47</f>
        <v>690</v>
      </c>
      <c r="J48" s="13">
        <f>I48-D48</f>
        <v>41</v>
      </c>
    </row>
    <row r="49" spans="1:10" x14ac:dyDescent="0.3">
      <c r="C49" s="8"/>
      <c r="D49" s="3"/>
      <c r="E49" s="3"/>
      <c r="H49" s="8"/>
      <c r="I49" s="3"/>
      <c r="J49" s="3"/>
    </row>
    <row r="50" spans="1:10" x14ac:dyDescent="0.3">
      <c r="E50" s="3"/>
    </row>
    <row r="51" spans="1:10" x14ac:dyDescent="0.3">
      <c r="A51" s="4" t="s">
        <v>118</v>
      </c>
      <c r="C51" s="8"/>
      <c r="D51" s="3"/>
      <c r="E51" s="3"/>
      <c r="F51" s="4" t="str">
        <f t="shared" ref="F51:F56" si="4">A51</f>
        <v>SMALL VIS</v>
      </c>
      <c r="I51" s="3"/>
      <c r="J51" s="3"/>
    </row>
    <row r="52" spans="1:10" x14ac:dyDescent="0.3">
      <c r="A52" s="1" t="s">
        <v>83</v>
      </c>
      <c r="B52">
        <v>42</v>
      </c>
      <c r="C52" s="7">
        <v>65.08</v>
      </c>
      <c r="D52" s="3">
        <f>ROUND(C52*B52/1000,0)</f>
        <v>3</v>
      </c>
      <c r="E52" s="3"/>
      <c r="F52" t="str">
        <f t="shared" si="4"/>
        <v xml:space="preserve"> Bills</v>
      </c>
      <c r="G52">
        <f>B52</f>
        <v>42</v>
      </c>
      <c r="H52" s="5">
        <f>C52</f>
        <v>65.08</v>
      </c>
      <c r="I52" s="3">
        <f>ROUND(H52*G52/1000,0)</f>
        <v>3</v>
      </c>
    </row>
    <row r="53" spans="1:10" x14ac:dyDescent="0.3">
      <c r="A53" s="1" t="s">
        <v>94</v>
      </c>
      <c r="B53">
        <v>1</v>
      </c>
      <c r="C53" s="8">
        <v>2.8672</v>
      </c>
      <c r="D53">
        <f>ROUND(C53*B53,0)</f>
        <v>3</v>
      </c>
      <c r="E53" s="3"/>
      <c r="F53" t="str">
        <f t="shared" si="4"/>
        <v xml:space="preserve"> All Consumption</v>
      </c>
      <c r="G53">
        <f>B53</f>
        <v>1</v>
      </c>
      <c r="H53" s="6">
        <v>3.0501999999999998</v>
      </c>
      <c r="I53">
        <f>ROUND(H53*G53,0)</f>
        <v>3</v>
      </c>
      <c r="J53" s="3"/>
    </row>
    <row r="54" spans="1:10" x14ac:dyDescent="0.3">
      <c r="A54" s="1" t="s">
        <v>86</v>
      </c>
      <c r="B54" s="12">
        <f>SUM(B53)</f>
        <v>1</v>
      </c>
      <c r="C54" s="8"/>
      <c r="D54" s="13">
        <f>SUM(D52:D53)</f>
        <v>6</v>
      </c>
      <c r="E54" s="3"/>
      <c r="F54" t="str">
        <f t="shared" si="4"/>
        <v xml:space="preserve">  Total</v>
      </c>
      <c r="G54" s="12">
        <f>SUM(G53)</f>
        <v>1</v>
      </c>
      <c r="I54" s="13">
        <f>SUM(I52:I53)</f>
        <v>6</v>
      </c>
    </row>
    <row r="55" spans="1:10" x14ac:dyDescent="0.3">
      <c r="A55" s="1" t="s">
        <v>87</v>
      </c>
      <c r="D55">
        <f>ROUND(0*D54,0)</f>
        <v>0</v>
      </c>
      <c r="E55" s="3"/>
      <c r="F55" t="str">
        <f t="shared" si="4"/>
        <v xml:space="preserve">  Revenue Adjustment</v>
      </c>
      <c r="I55">
        <f>ROUND(0*I54,0)</f>
        <v>0</v>
      </c>
    </row>
    <row r="56" spans="1:10" x14ac:dyDescent="0.3">
      <c r="A56" s="1" t="s">
        <v>86</v>
      </c>
      <c r="B56" s="12">
        <f>B54</f>
        <v>1</v>
      </c>
      <c r="C56" s="8"/>
      <c r="D56" s="13">
        <f>D54+D55</f>
        <v>6</v>
      </c>
      <c r="E56" s="3"/>
      <c r="F56" t="str">
        <f t="shared" si="4"/>
        <v xml:space="preserve">  Total</v>
      </c>
      <c r="G56" s="12">
        <f>G54</f>
        <v>1</v>
      </c>
      <c r="I56" s="13">
        <f>I54+I55</f>
        <v>6</v>
      </c>
      <c r="J56" s="13">
        <f>I56-D56</f>
        <v>0</v>
      </c>
    </row>
    <row r="57" spans="1:10" x14ac:dyDescent="0.3">
      <c r="E57" s="3"/>
    </row>
    <row r="58" spans="1:10" x14ac:dyDescent="0.3">
      <c r="E58" s="3"/>
    </row>
    <row r="59" spans="1:10" x14ac:dyDescent="0.3">
      <c r="A59" s="4" t="s">
        <v>120</v>
      </c>
      <c r="C59" s="8"/>
      <c r="D59" s="3"/>
      <c r="E59" s="3"/>
      <c r="F59" s="4" t="str">
        <f t="shared" ref="F59:F66" si="5">A59</f>
        <v>INTERMEDIATE VIS</v>
      </c>
      <c r="I59" s="3"/>
      <c r="J59" s="3"/>
    </row>
    <row r="60" spans="1:10" x14ac:dyDescent="0.3">
      <c r="A60" s="1" t="s">
        <v>83</v>
      </c>
      <c r="B60">
        <v>43</v>
      </c>
      <c r="C60" s="7">
        <v>142.5</v>
      </c>
      <c r="D60" s="3">
        <f>ROUND(C60*B60/1000,0)</f>
        <v>6</v>
      </c>
      <c r="E60" s="3"/>
      <c r="F60" t="str">
        <f t="shared" si="5"/>
        <v xml:space="preserve"> Bills</v>
      </c>
      <c r="G60">
        <f>B60</f>
        <v>43</v>
      </c>
      <c r="H60" s="5">
        <f>C60</f>
        <v>142.5</v>
      </c>
      <c r="I60" s="3">
        <f>ROUND(H60*G60/1000,0)</f>
        <v>6</v>
      </c>
    </row>
    <row r="61" spans="1:10" x14ac:dyDescent="0.3">
      <c r="A61" s="1" t="s">
        <v>121</v>
      </c>
      <c r="B61">
        <v>1</v>
      </c>
      <c r="C61" s="8">
        <v>2.3393000000000002</v>
      </c>
      <c r="D61">
        <f>ROUND(C61*B61,0)</f>
        <v>2</v>
      </c>
      <c r="E61" s="3"/>
      <c r="F61" t="str">
        <f t="shared" si="5"/>
        <v xml:space="preserve"> First    100 Mcf</v>
      </c>
      <c r="G61">
        <f>B61</f>
        <v>1</v>
      </c>
      <c r="H61" s="6">
        <v>2.5223</v>
      </c>
      <c r="I61">
        <f>ROUND(H61*G61,0)</f>
        <v>3</v>
      </c>
      <c r="J61" s="3"/>
    </row>
    <row r="62" spans="1:10" x14ac:dyDescent="0.3">
      <c r="A62" s="1" t="s">
        <v>122</v>
      </c>
      <c r="B62">
        <v>8</v>
      </c>
      <c r="C62" s="8">
        <v>1.9741</v>
      </c>
      <c r="D62">
        <f>ROUND(C62*B62,0)</f>
        <v>16</v>
      </c>
      <c r="E62" s="3"/>
      <c r="F62" t="str">
        <f t="shared" si="5"/>
        <v xml:space="preserve"> Next  1,900 Mcf</v>
      </c>
      <c r="G62">
        <f>B62</f>
        <v>8</v>
      </c>
      <c r="H62" s="6">
        <v>2.1570999999999998</v>
      </c>
      <c r="I62">
        <f>ROUND(H62*G62,0)</f>
        <v>17</v>
      </c>
    </row>
    <row r="63" spans="1:10" x14ac:dyDescent="0.3">
      <c r="A63" s="1" t="s">
        <v>106</v>
      </c>
      <c r="B63">
        <v>3</v>
      </c>
      <c r="C63" s="8">
        <v>1.6879999999999999</v>
      </c>
      <c r="D63">
        <f>ROUND(C63*B63,0)</f>
        <v>5</v>
      </c>
      <c r="E63" s="3"/>
      <c r="F63" t="str">
        <f t="shared" si="5"/>
        <v xml:space="preserve"> Over  2,000 Mcf</v>
      </c>
      <c r="G63">
        <f>B63</f>
        <v>3</v>
      </c>
      <c r="H63" s="6">
        <v>1.871</v>
      </c>
      <c r="I63">
        <f>ROUND(H63*G63,0)</f>
        <v>6</v>
      </c>
    </row>
    <row r="64" spans="1:10" x14ac:dyDescent="0.3">
      <c r="A64" s="1" t="s">
        <v>86</v>
      </c>
      <c r="B64" s="12">
        <f>SUM(B61:B63)</f>
        <v>12</v>
      </c>
      <c r="C64" s="8"/>
      <c r="D64" s="13">
        <f>SUM(D60:D63)</f>
        <v>29</v>
      </c>
      <c r="E64" s="3"/>
      <c r="F64" t="str">
        <f t="shared" si="5"/>
        <v xml:space="preserve">  Total</v>
      </c>
      <c r="G64" s="12">
        <f>SUM(G61:G63)</f>
        <v>12</v>
      </c>
      <c r="I64" s="13">
        <f>SUM(I60:I63)</f>
        <v>32</v>
      </c>
    </row>
    <row r="65" spans="1:10" x14ac:dyDescent="0.3">
      <c r="A65" s="1" t="s">
        <v>87</v>
      </c>
      <c r="C65" s="8"/>
      <c r="D65">
        <f>ROUND(0*D64,0)</f>
        <v>0</v>
      </c>
      <c r="E65" s="3"/>
      <c r="F65" t="str">
        <f t="shared" si="5"/>
        <v xml:space="preserve">  Revenue Adjustment</v>
      </c>
      <c r="I65">
        <f>ROUND(0*I64,0)</f>
        <v>0</v>
      </c>
    </row>
    <row r="66" spans="1:10" x14ac:dyDescent="0.3">
      <c r="A66" s="1" t="s">
        <v>86</v>
      </c>
      <c r="B66" s="12">
        <f>B64</f>
        <v>12</v>
      </c>
      <c r="C66" s="8"/>
      <c r="D66" s="13">
        <f>D64+D65</f>
        <v>29</v>
      </c>
      <c r="E66" s="3"/>
      <c r="F66" t="str">
        <f t="shared" si="5"/>
        <v xml:space="preserve">  Total</v>
      </c>
      <c r="G66" s="12">
        <f>G64</f>
        <v>12</v>
      </c>
      <c r="H66" s="8"/>
      <c r="I66" s="13">
        <f>I64+I65</f>
        <v>32</v>
      </c>
      <c r="J66" s="13">
        <f>I66-D66</f>
        <v>3</v>
      </c>
    </row>
    <row r="67" spans="1:10" x14ac:dyDescent="0.3">
      <c r="C67" s="8"/>
      <c r="D67" s="3"/>
      <c r="E67" s="3"/>
    </row>
    <row r="68" spans="1:10" x14ac:dyDescent="0.3">
      <c r="C68" s="8"/>
      <c r="D68" s="3"/>
      <c r="E68" s="3"/>
    </row>
    <row r="69" spans="1:10" x14ac:dyDescent="0.3">
      <c r="A69" s="4" t="s">
        <v>147</v>
      </c>
      <c r="C69" s="8"/>
      <c r="D69" s="3"/>
      <c r="E69" s="3"/>
      <c r="F69" s="4" t="s">
        <v>147</v>
      </c>
    </row>
    <row r="70" spans="1:10" x14ac:dyDescent="0.3">
      <c r="A70" s="4" t="s">
        <v>148</v>
      </c>
      <c r="B70" s="12">
        <f>B20+B29+B38+B48+B56+B66</f>
        <v>2467</v>
      </c>
      <c r="C70" s="8"/>
      <c r="D70" s="13">
        <f>D20+D29+D38+D48+D56+D66</f>
        <v>9463</v>
      </c>
      <c r="E70" s="3"/>
      <c r="F70" s="4" t="s">
        <v>148</v>
      </c>
      <c r="G70" s="12">
        <f>G20+G29+G38+G48+G56+G66</f>
        <v>2467</v>
      </c>
      <c r="H70" s="8"/>
      <c r="I70" s="13">
        <f>I20+I29+I38+I48+I56+I66</f>
        <v>9915</v>
      </c>
      <c r="J70" s="13">
        <f>I70-D70</f>
        <v>452</v>
      </c>
    </row>
    <row r="71" spans="1:10" x14ac:dyDescent="0.3">
      <c r="B71" s="20"/>
      <c r="C71" s="2"/>
      <c r="D71" s="25"/>
    </row>
    <row r="72" spans="1:10" x14ac:dyDescent="0.3">
      <c r="A72" s="1"/>
      <c r="F72" s="1"/>
    </row>
    <row r="73" spans="1:10" x14ac:dyDescent="0.3">
      <c r="B73" s="2" t="str">
        <f>IF(B74=B70,"Volume OK","Volume Error")</f>
        <v>Volume OK</v>
      </c>
      <c r="C73" s="2"/>
      <c r="D73" s="23" t="str">
        <f>IF(D74=D70,"Revenue OK","Revenue Error")</f>
        <v>Revenue OK</v>
      </c>
    </row>
    <row r="74" spans="1:10" x14ac:dyDescent="0.3">
      <c r="B74" s="27">
        <v>2467</v>
      </c>
      <c r="D74" s="21">
        <v>9463</v>
      </c>
    </row>
    <row r="75" spans="1:10" x14ac:dyDescent="0.3">
      <c r="B75">
        <f>B70-B74</f>
        <v>0</v>
      </c>
      <c r="D75" s="21">
        <f>D70-D74</f>
        <v>0</v>
      </c>
    </row>
    <row r="78" spans="1:10" x14ac:dyDescent="0.3">
      <c r="B78" s="2"/>
    </row>
    <row r="79" spans="1:10" x14ac:dyDescent="0.3">
      <c r="B79" s="27"/>
    </row>
  </sheetData>
  <printOptions horizontalCentered="1"/>
  <pageMargins left="0.5" right="0.5" top="0.75" bottom="0.75" header="0.5" footer="0.5"/>
  <pageSetup scale="60" orientation="portrait" r:id="rId1"/>
  <headerFooter alignWithMargins="0">
    <oddFooter>&amp;L&amp;"Times New Roman,Regular"* Rates exclude Transition Cost and Inflation Adjustment Surcharge
&amp;10
&amp;F, &amp;A&amp;C&amp;"Times New Roman,Regular"&amp;10
Page &amp;P of &amp;N&amp;R&amp;"Times New Roman,Regular"&amp;10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Revrun Sales Annual</vt:lpstr>
      <vt:lpstr>Revrun Sales 97</vt:lpstr>
      <vt:lpstr>Revrun Sales 98</vt:lpstr>
      <vt:lpstr>Exh 3-A-1 Actual</vt:lpstr>
      <vt:lpstr>Exh 3-A-1 Actual Sum</vt:lpstr>
      <vt:lpstr>Exh 3-A-1 Actual (SATC)</vt:lpstr>
      <vt:lpstr>'Exh 3-A-1 Actual Sum'!EX3A1_BORDER</vt:lpstr>
      <vt:lpstr>'Exh 3-A-1 Actual Sum'!EX3A1_NUM</vt:lpstr>
      <vt:lpstr>'Exh 3-A-1 Actual Sum'!EX3A1_PG1</vt:lpstr>
      <vt:lpstr>'Exh 3-A-1 Actual Sum'!EX3A1_PG2</vt:lpstr>
      <vt:lpstr>'Exh 3-A-1 Actual Sum'!EX3A1_PG3</vt:lpstr>
      <vt:lpstr>'Exh 3-A-1 Actual Sum'!EX3A1_PG4</vt:lpstr>
      <vt:lpstr>'Exh 3-A-1 Actual Sum'!EX3A1_PROP_LBS</vt:lpstr>
      <vt:lpstr>'Exh 3-A-1 Actual Sum'!EX3A1_PROP_TRAN</vt:lpstr>
      <vt:lpstr>'Exh 3-A-1 Actual'!Print_Area</vt:lpstr>
      <vt:lpstr>'Exh 3-A-1 Actual (SATC)'!Print_Area</vt:lpstr>
      <vt:lpstr>'Exh 3-A-1 Actual Sum'!Print_Area</vt:lpstr>
      <vt:lpstr>'Revrun Sales 97'!Print_Area</vt:lpstr>
      <vt:lpstr>'Revrun Sales 98'!Print_Area</vt:lpstr>
      <vt:lpstr>'Exh 3-A-1 Actual'!Print_Titles</vt:lpstr>
      <vt:lpstr>'Exh 3-A-1 Actual (SATC)'!Print_Titles</vt:lpstr>
      <vt:lpstr>'Exh 3-A-1 Actual Sum'!Print_Titles</vt:lpstr>
      <vt:lpstr>'Revrun Sales 97'!Print_Titles</vt:lpstr>
      <vt:lpstr>'Revrun Sales 98'!Print_Titles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 Rate Case</dc:title>
  <dc:creator>Lucy Vlahakis</dc:creator>
  <cp:lastModifiedBy>Lucy O'Donnell</cp:lastModifiedBy>
  <dcterms:created xsi:type="dcterms:W3CDTF">1999-10-13T18:01:22Z</dcterms:created>
  <dcterms:modified xsi:type="dcterms:W3CDTF">2020-10-22T19:37:42Z</dcterms:modified>
</cp:coreProperties>
</file>